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wzev79\AppData\Local\Microsoft\Windows\INetCache\Content.Outlook\J1K7201U\"/>
    </mc:Choice>
  </mc:AlternateContent>
  <bookViews>
    <workbookView xWindow="0" yWindow="0" windowWidth="19200" windowHeight="7050"/>
  </bookViews>
  <sheets>
    <sheet name="Modified Option B parameters" sheetId="4" r:id="rId1"/>
    <sheet name="current Option B parameters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0" i="4" l="1"/>
  <c r="D80" i="4"/>
  <c r="C80" i="4"/>
  <c r="H80" i="4" s="1"/>
  <c r="E79" i="4"/>
  <c r="D79" i="4"/>
  <c r="C79" i="4" s="1"/>
  <c r="E78" i="4"/>
  <c r="D78" i="4"/>
  <c r="C78" i="4" s="1"/>
  <c r="E77" i="4"/>
  <c r="D77" i="4"/>
  <c r="C77" i="4" s="1"/>
  <c r="E76" i="4"/>
  <c r="D76" i="4"/>
  <c r="C76" i="4" s="1"/>
  <c r="E75" i="4"/>
  <c r="D75" i="4"/>
  <c r="C75" i="4" s="1"/>
  <c r="E74" i="4"/>
  <c r="D74" i="4"/>
  <c r="C74" i="4" s="1"/>
  <c r="E73" i="4"/>
  <c r="D73" i="4"/>
  <c r="C73" i="4" s="1"/>
  <c r="E72" i="4"/>
  <c r="D72" i="4"/>
  <c r="C72" i="4" s="1"/>
  <c r="E71" i="4"/>
  <c r="D71" i="4"/>
  <c r="C71" i="4" s="1"/>
  <c r="E70" i="4"/>
  <c r="D70" i="4"/>
  <c r="C70" i="4" s="1"/>
  <c r="E69" i="4"/>
  <c r="D69" i="4"/>
  <c r="C69" i="4" s="1"/>
  <c r="E68" i="4"/>
  <c r="D68" i="4"/>
  <c r="C68" i="4" s="1"/>
  <c r="E67" i="4"/>
  <c r="D67" i="4"/>
  <c r="C67" i="4" s="1"/>
  <c r="E66" i="4"/>
  <c r="D66" i="4"/>
  <c r="C66" i="4" s="1"/>
  <c r="E65" i="4"/>
  <c r="D65" i="4"/>
  <c r="C65" i="4"/>
  <c r="H65" i="4" s="1"/>
  <c r="E64" i="4"/>
  <c r="D64" i="4"/>
  <c r="C64" i="4" s="1"/>
  <c r="E63" i="4"/>
  <c r="D63" i="4"/>
  <c r="E62" i="4"/>
  <c r="D62" i="4"/>
  <c r="C62" i="4" s="1"/>
  <c r="E61" i="4"/>
  <c r="D61" i="4"/>
  <c r="C61" i="4" s="1"/>
  <c r="U58" i="4"/>
  <c r="E58" i="4"/>
  <c r="D58" i="4"/>
  <c r="C58" i="4"/>
  <c r="Y58" i="4" s="1"/>
  <c r="E57" i="4"/>
  <c r="D57" i="4"/>
  <c r="C57" i="4" s="1"/>
  <c r="E56" i="4"/>
  <c r="D56" i="4"/>
  <c r="C56" i="4" s="1"/>
  <c r="E55" i="4"/>
  <c r="D55" i="4"/>
  <c r="C55" i="4" s="1"/>
  <c r="U54" i="4"/>
  <c r="E54" i="4"/>
  <c r="D54" i="4"/>
  <c r="C54" i="4"/>
  <c r="Y54" i="4" s="1"/>
  <c r="E53" i="4"/>
  <c r="D53" i="4"/>
  <c r="C53" i="4" s="1"/>
  <c r="E52" i="4"/>
  <c r="D52" i="4"/>
  <c r="C52" i="4" s="1"/>
  <c r="E51" i="4"/>
  <c r="D51" i="4"/>
  <c r="C51" i="4" s="1"/>
  <c r="E50" i="4"/>
  <c r="D50" i="4"/>
  <c r="C50" i="4" s="1"/>
  <c r="E49" i="4"/>
  <c r="D49" i="4"/>
  <c r="C49" i="4" s="1"/>
  <c r="E48" i="4"/>
  <c r="D48" i="4"/>
  <c r="C48" i="4" s="1"/>
  <c r="E47" i="4"/>
  <c r="D47" i="4"/>
  <c r="C47" i="4" s="1"/>
  <c r="E46" i="4"/>
  <c r="D46" i="4"/>
  <c r="C46" i="4" s="1"/>
  <c r="E45" i="4"/>
  <c r="C45" i="4" s="1"/>
  <c r="D45" i="4"/>
  <c r="E44" i="4"/>
  <c r="D44" i="4"/>
  <c r="C44" i="4"/>
  <c r="E43" i="4"/>
  <c r="D43" i="4"/>
  <c r="C43" i="4" s="1"/>
  <c r="U40" i="4"/>
  <c r="E40" i="4"/>
  <c r="D40" i="4"/>
  <c r="C40" i="4"/>
  <c r="Y40" i="4" s="1"/>
  <c r="E39" i="4"/>
  <c r="D39" i="4"/>
  <c r="C39" i="4" s="1"/>
  <c r="E38" i="4"/>
  <c r="D38" i="4"/>
  <c r="C38" i="4" s="1"/>
  <c r="E37" i="4"/>
  <c r="D37" i="4"/>
  <c r="C37" i="4" s="1"/>
  <c r="U36" i="4"/>
  <c r="E36" i="4"/>
  <c r="D36" i="4"/>
  <c r="C36" i="4"/>
  <c r="Y36" i="4" s="1"/>
  <c r="E35" i="4"/>
  <c r="D35" i="4"/>
  <c r="C35" i="4" s="1"/>
  <c r="E34" i="4"/>
  <c r="D34" i="4"/>
  <c r="C34" i="4" s="1"/>
  <c r="E33" i="4"/>
  <c r="D33" i="4"/>
  <c r="C33" i="4" s="1"/>
  <c r="E32" i="4"/>
  <c r="D32" i="4"/>
  <c r="C32" i="4" s="1"/>
  <c r="E31" i="4"/>
  <c r="D31" i="4"/>
  <c r="C31" i="4" s="1"/>
  <c r="E30" i="4"/>
  <c r="D30" i="4"/>
  <c r="C30" i="4" s="1"/>
  <c r="E29" i="4"/>
  <c r="D29" i="4"/>
  <c r="C29" i="4" s="1"/>
  <c r="E28" i="4"/>
  <c r="D28" i="4"/>
  <c r="C28" i="4" s="1"/>
  <c r="E27" i="4"/>
  <c r="D27" i="4"/>
  <c r="C27" i="4"/>
  <c r="E26" i="4"/>
  <c r="D26" i="4"/>
  <c r="C26" i="4"/>
  <c r="E25" i="4"/>
  <c r="D25" i="4"/>
  <c r="C25" i="4" s="1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63" i="4" l="1"/>
  <c r="H68" i="4"/>
  <c r="F68" i="4"/>
  <c r="U30" i="4"/>
  <c r="H30" i="4"/>
  <c r="Y30" i="4"/>
  <c r="V30" i="4"/>
  <c r="F30" i="4"/>
  <c r="F49" i="4"/>
  <c r="Y49" i="4"/>
  <c r="V49" i="4"/>
  <c r="H49" i="4"/>
  <c r="U49" i="4"/>
  <c r="U56" i="4"/>
  <c r="H56" i="4"/>
  <c r="F56" i="4"/>
  <c r="Y56" i="4"/>
  <c r="V56" i="4"/>
  <c r="F61" i="4"/>
  <c r="H61" i="4" s="1"/>
  <c r="G64" i="4"/>
  <c r="H69" i="4"/>
  <c r="F69" i="4"/>
  <c r="F73" i="4"/>
  <c r="H73" i="4"/>
  <c r="F77" i="4"/>
  <c r="H77" i="4"/>
  <c r="H31" i="4"/>
  <c r="F31" i="4"/>
  <c r="Y31" i="4"/>
  <c r="V31" i="4"/>
  <c r="U31" i="4"/>
  <c r="F35" i="4"/>
  <c r="Y35" i="4"/>
  <c r="V35" i="4"/>
  <c r="U35" i="4"/>
  <c r="H35" i="4"/>
  <c r="U38" i="4"/>
  <c r="H38" i="4"/>
  <c r="F38" i="4"/>
  <c r="Y38" i="4"/>
  <c r="V38" i="4"/>
  <c r="G46" i="4"/>
  <c r="Y43" i="4"/>
  <c r="F43" i="4"/>
  <c r="H46" i="4"/>
  <c r="F46" i="4"/>
  <c r="Y46" i="4"/>
  <c r="V46" i="4"/>
  <c r="U46" i="4"/>
  <c r="U50" i="4"/>
  <c r="Y50" i="4"/>
  <c r="H50" i="4"/>
  <c r="F50" i="4"/>
  <c r="V50" i="4"/>
  <c r="F57" i="4"/>
  <c r="Y57" i="4"/>
  <c r="V57" i="4"/>
  <c r="U57" i="4"/>
  <c r="H57" i="4"/>
  <c r="F62" i="4"/>
  <c r="H62" i="4"/>
  <c r="V37" i="4"/>
  <c r="F37" i="4"/>
  <c r="U37" i="4"/>
  <c r="H37" i="4"/>
  <c r="Y37" i="4"/>
  <c r="H72" i="4"/>
  <c r="F72" i="4"/>
  <c r="F70" i="4"/>
  <c r="H70" i="4"/>
  <c r="F25" i="4"/>
  <c r="Y25" i="4"/>
  <c r="G28" i="4"/>
  <c r="U25" i="4"/>
  <c r="V51" i="4"/>
  <c r="U51" i="4"/>
  <c r="H51" i="4"/>
  <c r="F51" i="4"/>
  <c r="Y51" i="4"/>
  <c r="H71" i="4"/>
  <c r="F71" i="4"/>
  <c r="H75" i="4"/>
  <c r="F75" i="4"/>
  <c r="H79" i="4"/>
  <c r="F79" i="4"/>
  <c r="H76" i="4"/>
  <c r="F76" i="4"/>
  <c r="U34" i="4"/>
  <c r="F34" i="4"/>
  <c r="H34" i="4"/>
  <c r="V34" i="4"/>
  <c r="Y34" i="4"/>
  <c r="F66" i="4"/>
  <c r="H66" i="4"/>
  <c r="H74" i="4"/>
  <c r="F74" i="4"/>
  <c r="H78" i="4"/>
  <c r="F78" i="4"/>
  <c r="H28" i="4"/>
  <c r="F28" i="4"/>
  <c r="Y28" i="4"/>
  <c r="V28" i="4"/>
  <c r="U28" i="4"/>
  <c r="V32" i="4"/>
  <c r="U32" i="4"/>
  <c r="H32" i="4"/>
  <c r="F32" i="4"/>
  <c r="Y32" i="4"/>
  <c r="F39" i="4"/>
  <c r="Y39" i="4"/>
  <c r="V39" i="4"/>
  <c r="U39" i="4"/>
  <c r="H39" i="4"/>
  <c r="Y47" i="4"/>
  <c r="U47" i="4"/>
  <c r="V47" i="4"/>
  <c r="H47" i="4"/>
  <c r="F47" i="4"/>
  <c r="F63" i="4"/>
  <c r="H63" i="4" s="1"/>
  <c r="H67" i="4"/>
  <c r="F67" i="4"/>
  <c r="Y29" i="4"/>
  <c r="V29" i="4"/>
  <c r="H29" i="4"/>
  <c r="U29" i="4"/>
  <c r="F29" i="4"/>
  <c r="U33" i="4"/>
  <c r="F33" i="4"/>
  <c r="Y33" i="4"/>
  <c r="V33" i="4"/>
  <c r="H33" i="4"/>
  <c r="U48" i="4"/>
  <c r="H48" i="4"/>
  <c r="V48" i="4"/>
  <c r="Y48" i="4"/>
  <c r="F48" i="4"/>
  <c r="U52" i="4"/>
  <c r="H52" i="4"/>
  <c r="F52" i="4"/>
  <c r="Y52" i="4"/>
  <c r="V52" i="4"/>
  <c r="U55" i="4"/>
  <c r="H55" i="4"/>
  <c r="F55" i="4"/>
  <c r="V55" i="4"/>
  <c r="Y55" i="4"/>
  <c r="H64" i="4"/>
  <c r="F64" i="4"/>
  <c r="F53" i="4"/>
  <c r="Y53" i="4"/>
  <c r="V53" i="4"/>
  <c r="U53" i="4"/>
  <c r="H53" i="4"/>
  <c r="F26" i="4"/>
  <c r="F27" i="4"/>
  <c r="V27" i="4" s="1"/>
  <c r="Y27" i="4"/>
  <c r="F36" i="4"/>
  <c r="F40" i="4"/>
  <c r="F45" i="4"/>
  <c r="Y45" i="4"/>
  <c r="F54" i="4"/>
  <c r="F58" i="4"/>
  <c r="F44" i="4"/>
  <c r="H36" i="4"/>
  <c r="H40" i="4"/>
  <c r="H54" i="4"/>
  <c r="H58" i="4"/>
  <c r="V36" i="4"/>
  <c r="V40" i="4"/>
  <c r="V54" i="4"/>
  <c r="V58" i="4"/>
  <c r="Y26" i="4"/>
  <c r="Y44" i="4"/>
  <c r="F65" i="4"/>
  <c r="F80" i="4"/>
  <c r="C20" i="3"/>
  <c r="C21" i="3"/>
  <c r="C22" i="3"/>
  <c r="C23" i="3"/>
  <c r="I61" i="4" l="1"/>
  <c r="U45" i="4"/>
  <c r="U27" i="4"/>
  <c r="W27" i="4"/>
  <c r="X27" i="4"/>
  <c r="W55" i="4"/>
  <c r="X55" i="4"/>
  <c r="X58" i="4"/>
  <c r="W58" i="4"/>
  <c r="W54" i="4"/>
  <c r="X54" i="4"/>
  <c r="X53" i="4"/>
  <c r="W53" i="4"/>
  <c r="W51" i="4"/>
  <c r="X51" i="4"/>
  <c r="G43" i="4"/>
  <c r="G45" i="4"/>
  <c r="X31" i="4"/>
  <c r="W31" i="4"/>
  <c r="W37" i="4"/>
  <c r="X37" i="4"/>
  <c r="X34" i="4"/>
  <c r="W34" i="4"/>
  <c r="V44" i="4"/>
  <c r="V45" i="4"/>
  <c r="W48" i="4"/>
  <c r="X48" i="4"/>
  <c r="U43" i="4"/>
  <c r="W30" i="4"/>
  <c r="X30" i="4"/>
  <c r="H45" i="4"/>
  <c r="X56" i="4"/>
  <c r="W56" i="4"/>
  <c r="X39" i="4"/>
  <c r="W39" i="4"/>
  <c r="X57" i="4"/>
  <c r="W57" i="4"/>
  <c r="H27" i="4"/>
  <c r="X52" i="4"/>
  <c r="W52" i="4"/>
  <c r="X32" i="4"/>
  <c r="W32" i="4"/>
  <c r="V26" i="4"/>
  <c r="U26" i="4"/>
  <c r="X29" i="4"/>
  <c r="W29" i="4"/>
  <c r="X28" i="4"/>
  <c r="W28" i="4"/>
  <c r="G25" i="4"/>
  <c r="G27" i="4"/>
  <c r="X46" i="4"/>
  <c r="W46" i="4"/>
  <c r="J49" i="4"/>
  <c r="J51" i="4"/>
  <c r="J45" i="4"/>
  <c r="J47" i="4"/>
  <c r="X35" i="4"/>
  <c r="W35" i="4"/>
  <c r="X50" i="4"/>
  <c r="W50" i="4"/>
  <c r="X40" i="4"/>
  <c r="W40" i="4"/>
  <c r="L71" i="4"/>
  <c r="L61" i="4"/>
  <c r="J31" i="4"/>
  <c r="K71" i="4"/>
  <c r="K72" i="4" s="1"/>
  <c r="J5" i="4" s="1"/>
  <c r="K61" i="4"/>
  <c r="K62" i="4" s="1"/>
  <c r="J4" i="4" s="1"/>
  <c r="J33" i="4"/>
  <c r="J27" i="4"/>
  <c r="J29" i="4"/>
  <c r="X36" i="4"/>
  <c r="W36" i="4"/>
  <c r="U44" i="4"/>
  <c r="W33" i="4"/>
  <c r="X33" i="4"/>
  <c r="W47" i="4"/>
  <c r="X47" i="4"/>
  <c r="X38" i="4"/>
  <c r="W38" i="4"/>
  <c r="W49" i="4"/>
  <c r="X49" i="4"/>
  <c r="C77" i="3"/>
  <c r="F77" i="3" s="1"/>
  <c r="C78" i="3"/>
  <c r="H78" i="3" s="1"/>
  <c r="C79" i="3"/>
  <c r="H79" i="3" s="1"/>
  <c r="C80" i="3"/>
  <c r="H80" i="3" s="1"/>
  <c r="H77" i="3"/>
  <c r="F79" i="3"/>
  <c r="E77" i="3"/>
  <c r="E78" i="3"/>
  <c r="E79" i="3"/>
  <c r="E80" i="3"/>
  <c r="D77" i="3"/>
  <c r="D78" i="3"/>
  <c r="D79" i="3"/>
  <c r="D80" i="3"/>
  <c r="H25" i="4" l="1"/>
  <c r="H26" i="4"/>
  <c r="W45" i="4"/>
  <c r="X45" i="4"/>
  <c r="M72" i="4"/>
  <c r="L5" i="4" s="1"/>
  <c r="L72" i="4"/>
  <c r="K5" i="4" s="1"/>
  <c r="M62" i="4"/>
  <c r="L4" i="4" s="1"/>
  <c r="L62" i="4"/>
  <c r="K4" i="4" s="1"/>
  <c r="H43" i="4"/>
  <c r="H44" i="4"/>
  <c r="F80" i="3"/>
  <c r="F78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61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25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43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I25" i="4" l="1"/>
  <c r="I43" i="4"/>
  <c r="C75" i="3"/>
  <c r="C76" i="3"/>
  <c r="K25" i="4" l="1"/>
  <c r="L25" i="4"/>
  <c r="L26" i="4" s="1"/>
  <c r="K6" i="4" s="1"/>
  <c r="L43" i="4"/>
  <c r="L44" i="4" s="1"/>
  <c r="K7" i="4" s="1"/>
  <c r="K43" i="4"/>
  <c r="F75" i="3"/>
  <c r="H75" i="3" s="1"/>
  <c r="F76" i="3"/>
  <c r="H76" i="3" s="1"/>
  <c r="C68" i="3"/>
  <c r="F68" i="3" s="1"/>
  <c r="C73" i="3"/>
  <c r="F73" i="3" s="1"/>
  <c r="C70" i="3"/>
  <c r="F70" i="3" s="1"/>
  <c r="C62" i="3"/>
  <c r="F62" i="3" s="1"/>
  <c r="C61" i="3"/>
  <c r="C69" i="3"/>
  <c r="F69" i="3" s="1"/>
  <c r="C67" i="3"/>
  <c r="F67" i="3" s="1"/>
  <c r="C74" i="3"/>
  <c r="F74" i="3" s="1"/>
  <c r="C66" i="3"/>
  <c r="F66" i="3" s="1"/>
  <c r="C65" i="3"/>
  <c r="F65" i="3" s="1"/>
  <c r="C72" i="3"/>
  <c r="F72" i="3" s="1"/>
  <c r="C64" i="3"/>
  <c r="F64" i="3" s="1"/>
  <c r="C71" i="3"/>
  <c r="F71" i="3" s="1"/>
  <c r="C63" i="3"/>
  <c r="F63" i="3" s="1"/>
  <c r="C58" i="3"/>
  <c r="C57" i="3"/>
  <c r="C56" i="3"/>
  <c r="C55" i="3"/>
  <c r="C54" i="3"/>
  <c r="C53" i="3"/>
  <c r="Y53" i="3" s="1"/>
  <c r="C52" i="3"/>
  <c r="C51" i="3"/>
  <c r="Y51" i="3" s="1"/>
  <c r="C50" i="3"/>
  <c r="Y50" i="3" s="1"/>
  <c r="C49" i="3"/>
  <c r="Y49" i="3" s="1"/>
  <c r="C48" i="3"/>
  <c r="Y48" i="3" s="1"/>
  <c r="C47" i="3"/>
  <c r="Y47" i="3" s="1"/>
  <c r="C46" i="3"/>
  <c r="C45" i="3"/>
  <c r="Y45" i="3" s="1"/>
  <c r="C44" i="3"/>
  <c r="Y44" i="3" s="1"/>
  <c r="C43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Y27" i="3" s="1"/>
  <c r="C26" i="3"/>
  <c r="Y26" i="3" s="1"/>
  <c r="C25" i="3"/>
  <c r="M26" i="4" l="1"/>
  <c r="L6" i="4" s="1"/>
  <c r="K26" i="4"/>
  <c r="J6" i="4" s="1"/>
  <c r="M44" i="4"/>
  <c r="L7" i="4" s="1"/>
  <c r="K44" i="4"/>
  <c r="J7" i="4" s="1"/>
  <c r="F61" i="3"/>
  <c r="H61" i="3" s="1"/>
  <c r="Y25" i="3"/>
  <c r="Y28" i="3"/>
  <c r="Y29" i="3"/>
  <c r="H72" i="3"/>
  <c r="Y36" i="3"/>
  <c r="Y37" i="3"/>
  <c r="H66" i="3"/>
  <c r="Y30" i="3"/>
  <c r="Y38" i="3"/>
  <c r="Y35" i="3"/>
  <c r="Y32" i="3"/>
  <c r="Y40" i="3"/>
  <c r="Y31" i="3"/>
  <c r="Y39" i="3"/>
  <c r="H69" i="3"/>
  <c r="Y33" i="3"/>
  <c r="Y34" i="3"/>
  <c r="H62" i="3"/>
  <c r="H65" i="3"/>
  <c r="G28" i="3"/>
  <c r="G46" i="3"/>
  <c r="H68" i="3"/>
  <c r="H74" i="3"/>
  <c r="H64" i="3"/>
  <c r="H67" i="3"/>
  <c r="H63" i="3"/>
  <c r="G64" i="3"/>
  <c r="H73" i="3"/>
  <c r="H71" i="3"/>
  <c r="H70" i="3"/>
  <c r="F25" i="3"/>
  <c r="F43" i="3"/>
  <c r="Y43" i="3"/>
  <c r="F40" i="3"/>
  <c r="F27" i="3"/>
  <c r="F36" i="3"/>
  <c r="Y58" i="3"/>
  <c r="F35" i="3"/>
  <c r="F28" i="3"/>
  <c r="V28" i="3" s="1"/>
  <c r="F37" i="3"/>
  <c r="F33" i="3"/>
  <c r="F34" i="3"/>
  <c r="Y57" i="3"/>
  <c r="F29" i="3"/>
  <c r="F30" i="3"/>
  <c r="U30" i="3" s="1"/>
  <c r="F38" i="3"/>
  <c r="F46" i="3"/>
  <c r="Y46" i="3"/>
  <c r="Y54" i="3"/>
  <c r="F26" i="3"/>
  <c r="F52" i="3"/>
  <c r="Y52" i="3"/>
  <c r="F31" i="3"/>
  <c r="V31" i="3" s="1"/>
  <c r="Y55" i="3"/>
  <c r="F58" i="3"/>
  <c r="F32" i="3"/>
  <c r="F39" i="3"/>
  <c r="Y56" i="3"/>
  <c r="F53" i="3"/>
  <c r="F57" i="3"/>
  <c r="F56" i="3"/>
  <c r="F45" i="3"/>
  <c r="F49" i="3"/>
  <c r="F47" i="3"/>
  <c r="F55" i="3"/>
  <c r="F54" i="3"/>
  <c r="F51" i="3"/>
  <c r="F44" i="3"/>
  <c r="F50" i="3"/>
  <c r="F48" i="3"/>
  <c r="I61" i="3" l="1"/>
  <c r="V29" i="3"/>
  <c r="W29" i="3" s="1"/>
  <c r="L71" i="3"/>
  <c r="K71" i="3"/>
  <c r="K72" i="3" s="1"/>
  <c r="J5" i="3" s="1"/>
  <c r="U31" i="3"/>
  <c r="V35" i="3"/>
  <c r="W35" i="3" s="1"/>
  <c r="U29" i="3"/>
  <c r="V58" i="3"/>
  <c r="X58" i="3" s="1"/>
  <c r="U28" i="3"/>
  <c r="V27" i="3"/>
  <c r="U26" i="3"/>
  <c r="V26" i="3"/>
  <c r="U27" i="3"/>
  <c r="U25" i="3"/>
  <c r="X29" i="3"/>
  <c r="X28" i="3"/>
  <c r="W28" i="3"/>
  <c r="X31" i="3"/>
  <c r="W31" i="3"/>
  <c r="V33" i="3"/>
  <c r="U35" i="3"/>
  <c r="U58" i="3"/>
  <c r="V37" i="3"/>
  <c r="V39" i="3"/>
  <c r="U40" i="3"/>
  <c r="V38" i="3"/>
  <c r="U37" i="3"/>
  <c r="V40" i="3"/>
  <c r="U57" i="3"/>
  <c r="U39" i="3"/>
  <c r="U38" i="3"/>
  <c r="V57" i="3"/>
  <c r="X57" i="3" s="1"/>
  <c r="V34" i="3"/>
  <c r="V32" i="3"/>
  <c r="V36" i="3"/>
  <c r="V54" i="3"/>
  <c r="X54" i="3" s="1"/>
  <c r="U34" i="3"/>
  <c r="U32" i="3"/>
  <c r="V30" i="3"/>
  <c r="U36" i="3"/>
  <c r="U33" i="3"/>
  <c r="J31" i="3"/>
  <c r="J33" i="3"/>
  <c r="J27" i="3"/>
  <c r="J29" i="3"/>
  <c r="G27" i="3"/>
  <c r="U54" i="3"/>
  <c r="U55" i="3"/>
  <c r="V55" i="3"/>
  <c r="X55" i="3" s="1"/>
  <c r="U56" i="3"/>
  <c r="V56" i="3"/>
  <c r="K61" i="3"/>
  <c r="L61" i="3"/>
  <c r="J49" i="3"/>
  <c r="J45" i="3"/>
  <c r="J47" i="3"/>
  <c r="J51" i="3"/>
  <c r="V51" i="3"/>
  <c r="W51" i="3" s="1"/>
  <c r="V47" i="3"/>
  <c r="V46" i="3"/>
  <c r="X46" i="3" s="1"/>
  <c r="U49" i="3"/>
  <c r="V53" i="3"/>
  <c r="V52" i="3"/>
  <c r="U53" i="3"/>
  <c r="U46" i="3"/>
  <c r="U51" i="3"/>
  <c r="V49" i="3"/>
  <c r="X49" i="3" s="1"/>
  <c r="U52" i="3"/>
  <c r="U50" i="3"/>
  <c r="V48" i="3"/>
  <c r="G45" i="3"/>
  <c r="V45" i="3"/>
  <c r="U44" i="3"/>
  <c r="U43" i="3"/>
  <c r="G43" i="3"/>
  <c r="H58" i="3" s="1"/>
  <c r="V44" i="3"/>
  <c r="U45" i="3"/>
  <c r="V50" i="3"/>
  <c r="G25" i="3"/>
  <c r="H25" i="3" s="1"/>
  <c r="U48" i="3"/>
  <c r="U47" i="3"/>
  <c r="W58" i="3" l="1"/>
  <c r="W54" i="3"/>
  <c r="X35" i="3"/>
  <c r="W27" i="3"/>
  <c r="X27" i="3"/>
  <c r="H37" i="3"/>
  <c r="H40" i="3"/>
  <c r="H39" i="3"/>
  <c r="X36" i="3"/>
  <c r="W36" i="3"/>
  <c r="X40" i="3"/>
  <c r="W40" i="3"/>
  <c r="X32" i="3"/>
  <c r="W32" i="3"/>
  <c r="X38" i="3"/>
  <c r="W38" i="3"/>
  <c r="W33" i="3"/>
  <c r="X33" i="3"/>
  <c r="H55" i="3"/>
  <c r="H57" i="3"/>
  <c r="W34" i="3"/>
  <c r="X34" i="3"/>
  <c r="W39" i="3"/>
  <c r="X39" i="3"/>
  <c r="W57" i="3"/>
  <c r="X30" i="3"/>
  <c r="W30" i="3"/>
  <c r="W37" i="3"/>
  <c r="X37" i="3"/>
  <c r="M72" i="3"/>
  <c r="L5" i="3" s="1"/>
  <c r="L72" i="3"/>
  <c r="K5" i="3" s="1"/>
  <c r="W55" i="3"/>
  <c r="H27" i="3"/>
  <c r="H38" i="3"/>
  <c r="X56" i="3"/>
  <c r="W56" i="3"/>
  <c r="H43" i="3"/>
  <c r="H56" i="3"/>
  <c r="H54" i="3"/>
  <c r="M62" i="3"/>
  <c r="L4" i="3" s="1"/>
  <c r="K62" i="3"/>
  <c r="J4" i="3" s="1"/>
  <c r="L62" i="3"/>
  <c r="K4" i="3" s="1"/>
  <c r="X51" i="3"/>
  <c r="W45" i="3"/>
  <c r="X45" i="3"/>
  <c r="W53" i="3"/>
  <c r="X53" i="3"/>
  <c r="W47" i="3"/>
  <c r="X47" i="3"/>
  <c r="W50" i="3"/>
  <c r="X50" i="3"/>
  <c r="W48" i="3"/>
  <c r="X48" i="3"/>
  <c r="W52" i="3"/>
  <c r="X52" i="3"/>
  <c r="W46" i="3"/>
  <c r="W49" i="3"/>
  <c r="H51" i="3"/>
  <c r="H53" i="3"/>
  <c r="H52" i="3"/>
  <c r="H34" i="3"/>
  <c r="H44" i="3"/>
  <c r="H45" i="3"/>
  <c r="H50" i="3"/>
  <c r="H46" i="3"/>
  <c r="H47" i="3"/>
  <c r="H48" i="3"/>
  <c r="H49" i="3"/>
  <c r="H32" i="3"/>
  <c r="H30" i="3"/>
  <c r="H33" i="3"/>
  <c r="H35" i="3"/>
  <c r="H28" i="3"/>
  <c r="H29" i="3"/>
  <c r="H31" i="3"/>
  <c r="H26" i="3"/>
  <c r="H36" i="3"/>
  <c r="I43" i="3" l="1"/>
  <c r="K43" i="3" s="1"/>
  <c r="I25" i="3"/>
  <c r="L43" i="3" l="1"/>
  <c r="L44" i="3" s="1"/>
  <c r="K7" i="3" s="1"/>
  <c r="K25" i="3"/>
  <c r="L25" i="3"/>
  <c r="L26" i="3" s="1"/>
  <c r="K6" i="3" s="1"/>
  <c r="K44" i="3"/>
  <c r="J7" i="3" s="1"/>
  <c r="M44" i="3" l="1"/>
  <c r="L7" i="3" s="1"/>
  <c r="M26" i="3"/>
  <c r="L6" i="3" s="1"/>
  <c r="K26" i="3"/>
  <c r="J6" i="3" s="1"/>
</calcChain>
</file>

<file path=xl/sharedStrings.xml><?xml version="1.0" encoding="utf-8"?>
<sst xmlns="http://schemas.openxmlformats.org/spreadsheetml/2006/main" count="166" uniqueCount="44">
  <si>
    <t>tp1,n</t>
  </si>
  <si>
    <t>tp2,n</t>
  </si>
  <si>
    <t>tf1,n</t>
  </si>
  <si>
    <t>tf2,n</t>
  </si>
  <si>
    <t>xi</t>
  </si>
  <si>
    <t>xtest</t>
  </si>
  <si>
    <t>(xi-xtest)²</t>
  </si>
  <si>
    <t>s</t>
  </si>
  <si>
    <t>A</t>
  </si>
  <si>
    <t>PASS</t>
  </si>
  <si>
    <t>FAIL</t>
  </si>
  <si>
    <t>ONE MORE VEHICLE</t>
  </si>
  <si>
    <t>tp1</t>
  </si>
  <si>
    <t>tp2</t>
  </si>
  <si>
    <t>tf1</t>
  </si>
  <si>
    <t>tf2</t>
  </si>
  <si>
    <t>SOC_measured</t>
  </si>
  <si>
    <t>SOC_read</t>
  </si>
  <si>
    <t>Abweichung</t>
  </si>
  <si>
    <t>pass</t>
  </si>
  <si>
    <t>fail</t>
  </si>
  <si>
    <t>delta</t>
  </si>
  <si>
    <t>neg</t>
  </si>
  <si>
    <t>ONE MORE</t>
  </si>
  <si>
    <t>Option A1</t>
  </si>
  <si>
    <t>Option A2</t>
  </si>
  <si>
    <t>A in [%]</t>
  </si>
  <si>
    <t>tolerance in [%]</t>
  </si>
  <si>
    <t>s(neg)</t>
  </si>
  <si>
    <t>Option B (EU with 1.05)</t>
  </si>
  <si>
    <t>Option B (JPN with 5% Delta)</t>
  </si>
  <si>
    <t>Required vehicles</t>
  </si>
  <si>
    <t>Option A1 and Option A2</t>
  </si>
  <si>
    <t>Cumulative sample size</t>
  </si>
  <si>
    <t>From Part A Test</t>
  </si>
  <si>
    <t>From Indikator</t>
  </si>
  <si>
    <t>SOCE_read</t>
  </si>
  <si>
    <t>SOCE_measured</t>
  </si>
  <si>
    <r>
      <t xml:space="preserve">Option B (Proposal EU-COM with </t>
    </r>
    <r>
      <rPr>
        <b/>
        <sz val="11"/>
        <rFont val="Arial"/>
        <family val="2"/>
      </rPr>
      <t>1.05</t>
    </r>
    <r>
      <rPr>
        <sz val="11"/>
        <rFont val="Arial"/>
        <family val="2"/>
      </rPr>
      <t>)</t>
    </r>
  </si>
  <si>
    <r>
      <t xml:space="preserve">Option B (Proposal JPN with </t>
    </r>
    <r>
      <rPr>
        <b/>
        <sz val="11"/>
        <rFont val="Arial"/>
        <family val="2"/>
      </rPr>
      <t>5%</t>
    </r>
    <r>
      <rPr>
        <sz val="11"/>
        <rFont val="Arial"/>
        <family val="2"/>
      </rPr>
      <t xml:space="preserve"> delta)</t>
    </r>
  </si>
  <si>
    <r>
      <rPr>
        <b/>
        <sz val="11"/>
        <color rgb="FFFF0000"/>
        <rFont val="Arial"/>
        <family val="2"/>
      </rPr>
      <t xml:space="preserve">red </t>
    </r>
    <r>
      <rPr>
        <sz val="11"/>
        <color theme="1"/>
        <rFont val="Arial"/>
        <family val="2"/>
      </rPr>
      <t>= fail line</t>
    </r>
  </si>
  <si>
    <r>
      <rPr>
        <b/>
        <sz val="11"/>
        <color rgb="FF00B050"/>
        <rFont val="Arial"/>
        <family val="2"/>
      </rPr>
      <t>green</t>
    </r>
    <r>
      <rPr>
        <sz val="11"/>
        <color theme="1"/>
        <rFont val="Arial"/>
        <family val="2"/>
      </rPr>
      <t xml:space="preserve"> = pass line</t>
    </r>
  </si>
  <si>
    <t>Only relevant for Option A2</t>
  </si>
  <si>
    <t>In yellow fields, you can type in examples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</si>
</sst>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BMW Group Condensed"/>
      <family val="2"/>
      <scheme val="minor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rgb="FF00B050"/>
      <name val="Arial"/>
      <family val="2"/>
    </font>
    <font>
      <sz val="11"/>
      <color rgb="FFFF0000"/>
      <name val="Arial"/>
      <family val="2"/>
    </font>
    <font>
      <sz val="11"/>
      <color rgb="FFFFC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0" tint="-0.499984740745262"/>
      <name val="Arial"/>
      <family val="2"/>
    </font>
    <font>
      <b/>
      <sz val="11"/>
      <color rgb="FF00B050"/>
      <name val="Arial"/>
      <family val="2"/>
    </font>
    <font>
      <b/>
      <sz val="18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Protection="1"/>
    <xf numFmtId="0" fontId="1" fillId="0" borderId="1" xfId="0" applyFont="1" applyBorder="1" applyProtection="1"/>
    <xf numFmtId="0" fontId="1" fillId="0" borderId="2" xfId="0" applyFont="1" applyBorder="1" applyProtection="1"/>
    <xf numFmtId="0" fontId="1" fillId="0" borderId="3" xfId="0" applyFont="1" applyBorder="1" applyProtection="1"/>
    <xf numFmtId="0" fontId="1" fillId="0" borderId="4" xfId="0" applyFont="1" applyBorder="1" applyProtection="1"/>
    <xf numFmtId="0" fontId="1" fillId="0" borderId="0" xfId="0" applyFont="1" applyBorder="1" applyProtection="1"/>
    <xf numFmtId="0" fontId="3" fillId="0" borderId="0" xfId="0" applyFont="1" applyProtection="1"/>
    <xf numFmtId="0" fontId="4" fillId="0" borderId="0" xfId="0" applyFont="1" applyProtection="1"/>
    <xf numFmtId="0" fontId="5" fillId="0" borderId="0" xfId="0" applyFont="1" applyProtection="1"/>
    <xf numFmtId="0" fontId="6" fillId="0" borderId="0" xfId="0" applyFont="1" applyProtection="1"/>
    <xf numFmtId="0" fontId="1" fillId="0" borderId="1" xfId="0" applyFont="1" applyFill="1" applyBorder="1" applyProtection="1"/>
    <xf numFmtId="0" fontId="1" fillId="0" borderId="4" xfId="0" applyFont="1" applyFill="1" applyBorder="1" applyProtection="1"/>
    <xf numFmtId="0" fontId="1" fillId="0" borderId="7" xfId="0" applyFont="1" applyBorder="1" applyProtection="1"/>
    <xf numFmtId="0" fontId="1" fillId="0" borderId="5" xfId="0" applyFont="1" applyBorder="1" applyProtection="1"/>
    <xf numFmtId="0" fontId="1" fillId="0" borderId="6" xfId="0" applyFont="1" applyBorder="1" applyProtection="1"/>
    <xf numFmtId="0" fontId="2" fillId="2" borderId="10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2" xfId="0" applyFont="1" applyFill="1" applyBorder="1" applyProtection="1">
      <protection locked="0"/>
    </xf>
    <xf numFmtId="0" fontId="2" fillId="2" borderId="13" xfId="0" applyFont="1" applyFill="1" applyBorder="1" applyProtection="1">
      <protection locked="0"/>
    </xf>
    <xf numFmtId="0" fontId="1" fillId="2" borderId="12" xfId="0" applyFont="1" applyFill="1" applyBorder="1" applyProtection="1"/>
    <xf numFmtId="0" fontId="1" fillId="2" borderId="13" xfId="0" applyFont="1" applyFill="1" applyBorder="1" applyProtection="1"/>
    <xf numFmtId="0" fontId="2" fillId="2" borderId="16" xfId="0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1" fillId="0" borderId="18" xfId="0" applyFont="1" applyBorder="1" applyProtection="1"/>
    <xf numFmtId="0" fontId="1" fillId="0" borderId="19" xfId="0" applyFont="1" applyBorder="1" applyProtection="1"/>
    <xf numFmtId="0" fontId="1" fillId="0" borderId="20" xfId="0" applyFont="1" applyBorder="1" applyProtection="1"/>
    <xf numFmtId="0" fontId="1" fillId="0" borderId="21" xfId="0" applyFont="1" applyBorder="1" applyProtection="1"/>
    <xf numFmtId="0" fontId="2" fillId="2" borderId="22" xfId="0" applyFont="1" applyFill="1" applyBorder="1" applyProtection="1">
      <protection locked="0"/>
    </xf>
    <xf numFmtId="0" fontId="2" fillId="2" borderId="23" xfId="0" applyFont="1" applyFill="1" applyBorder="1" applyProtection="1">
      <protection locked="0"/>
    </xf>
    <xf numFmtId="0" fontId="2" fillId="2" borderId="14" xfId="0" applyFont="1" applyFill="1" applyBorder="1" applyProtection="1">
      <protection locked="0"/>
    </xf>
    <xf numFmtId="0" fontId="2" fillId="2" borderId="15" xfId="0" applyFont="1" applyFill="1" applyBorder="1" applyProtection="1">
      <protection locked="0"/>
    </xf>
    <xf numFmtId="0" fontId="1" fillId="2" borderId="10" xfId="0" applyFont="1" applyFill="1" applyBorder="1" applyProtection="1"/>
    <xf numFmtId="0" fontId="1" fillId="2" borderId="11" xfId="0" applyFont="1" applyFill="1" applyBorder="1" applyProtection="1"/>
    <xf numFmtId="0" fontId="1" fillId="3" borderId="0" xfId="0" applyFont="1" applyFill="1" applyBorder="1" applyProtection="1"/>
    <xf numFmtId="0" fontId="1" fillId="3" borderId="4" xfId="0" applyFont="1" applyFill="1" applyBorder="1" applyProtection="1"/>
    <xf numFmtId="0" fontId="1" fillId="3" borderId="6" xfId="0" applyFont="1" applyFill="1" applyBorder="1" applyProtection="1"/>
    <xf numFmtId="0" fontId="1" fillId="3" borderId="7" xfId="0" applyFont="1" applyFill="1" applyBorder="1" applyProtection="1"/>
    <xf numFmtId="0" fontId="1" fillId="3" borderId="9" xfId="0" applyFont="1" applyFill="1" applyBorder="1" applyProtection="1"/>
    <xf numFmtId="0" fontId="1" fillId="3" borderId="9" xfId="0" applyFont="1" applyFill="1" applyBorder="1" applyProtection="1">
      <protection locked="0"/>
    </xf>
    <xf numFmtId="0" fontId="3" fillId="3" borderId="9" xfId="0" applyFont="1" applyFill="1" applyBorder="1" applyProtection="1"/>
    <xf numFmtId="0" fontId="9" fillId="3" borderId="9" xfId="0" applyFont="1" applyFill="1" applyBorder="1" applyProtection="1"/>
    <xf numFmtId="0" fontId="5" fillId="3" borderId="9" xfId="0" applyFont="1" applyFill="1" applyBorder="1" applyProtection="1"/>
    <xf numFmtId="0" fontId="10" fillId="3" borderId="9" xfId="0" applyFont="1" applyFill="1" applyBorder="1" applyProtection="1"/>
    <xf numFmtId="0" fontId="8" fillId="3" borderId="10" xfId="0" applyFont="1" applyFill="1" applyBorder="1" applyProtection="1"/>
    <xf numFmtId="0" fontId="1" fillId="3" borderId="24" xfId="0" applyFont="1" applyFill="1" applyBorder="1" applyProtection="1"/>
    <xf numFmtId="0" fontId="1" fillId="3" borderId="11" xfId="0" applyFont="1" applyFill="1" applyBorder="1" applyProtection="1"/>
    <xf numFmtId="0" fontId="1" fillId="3" borderId="12" xfId="0" applyFont="1" applyFill="1" applyBorder="1" applyProtection="1"/>
    <xf numFmtId="0" fontId="1" fillId="3" borderId="13" xfId="0" applyFont="1" applyFill="1" applyBorder="1" applyProtection="1"/>
    <xf numFmtId="0" fontId="1" fillId="3" borderId="14" xfId="0" applyFont="1" applyFill="1" applyBorder="1" applyProtection="1"/>
    <xf numFmtId="0" fontId="1" fillId="3" borderId="25" xfId="0" applyFont="1" applyFill="1" applyBorder="1" applyProtection="1"/>
    <xf numFmtId="0" fontId="2" fillId="3" borderId="9" xfId="0" applyFont="1" applyFill="1" applyBorder="1" applyProtection="1">
      <protection locked="0"/>
    </xf>
    <xf numFmtId="0" fontId="1" fillId="3" borderId="15" xfId="0" applyFont="1" applyFill="1" applyBorder="1" applyProtection="1"/>
    <xf numFmtId="0" fontId="1" fillId="2" borderId="22" xfId="0" applyFont="1" applyFill="1" applyBorder="1" applyProtection="1"/>
    <xf numFmtId="0" fontId="1" fillId="2" borderId="23" xfId="0" applyFont="1" applyFill="1" applyBorder="1" applyProtection="1"/>
    <xf numFmtId="0" fontId="1" fillId="3" borderId="24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3" fillId="2" borderId="6" xfId="0" applyFont="1" applyFill="1" applyBorder="1" applyAlignment="1" applyProtection="1">
      <alignment horizontal="center" vertical="center"/>
    </xf>
    <xf numFmtId="0" fontId="13" fillId="2" borderId="7" xfId="0" applyFont="1" applyFill="1" applyBorder="1" applyAlignment="1" applyProtection="1">
      <alignment horizontal="center" vertical="center"/>
    </xf>
    <xf numFmtId="0" fontId="13" fillId="2" borderId="8" xfId="0" applyFont="1" applyFill="1" applyBorder="1" applyAlignment="1" applyProtection="1">
      <alignment horizontal="center" vertical="center"/>
    </xf>
    <xf numFmtId="0" fontId="12" fillId="3" borderId="13" xfId="0" applyFont="1" applyFill="1" applyBorder="1" applyAlignment="1" applyProtection="1">
      <alignment horizontal="center" vertical="center" textRotation="90"/>
    </xf>
    <xf numFmtId="0" fontId="12" fillId="3" borderId="15" xfId="0" applyFont="1" applyFill="1" applyBorder="1" applyAlignment="1" applyProtection="1">
      <alignment horizontal="center" vertical="center" textRotation="90"/>
    </xf>
    <xf numFmtId="0" fontId="1" fillId="3" borderId="12" xfId="0" applyFont="1" applyFill="1" applyBorder="1" applyAlignment="1" applyProtection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'Modified Option B parameters'!$F$24</c:f>
              <c:strCache>
                <c:ptCount val="1"/>
                <c:pt idx="0">
                  <c:v>xi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'Modified Option B parameters'!$B$25:$B$40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xVal>
          <c:yVal>
            <c:numRef>
              <c:f>'Modified Option B parameters'!$U$25:$U$40</c:f>
              <c:numCache>
                <c:formatCode>General</c:formatCode>
                <c:ptCount val="16"/>
                <c:pt idx="0">
                  <c:v>0.9882352941176471</c:v>
                </c:pt>
                <c:pt idx="1">
                  <c:v>0.99411764705882355</c:v>
                </c:pt>
                <c:pt idx="2">
                  <c:v>0.99607843137254903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B78-4553-A8CD-FA97E865D386}"/>
            </c:ext>
          </c:extLst>
        </c:ser>
        <c:ser>
          <c:idx val="1"/>
          <c:order val="1"/>
          <c:tx>
            <c:strRef>
              <c:f>'Modified Option B parameters'!$W$24</c:f>
              <c:strCache>
                <c:ptCount val="1"/>
                <c:pt idx="0">
                  <c:v>PASS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'Modified Option B parameters'!$B$25:$B$40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xVal>
          <c:yVal>
            <c:numRef>
              <c:f>'Modified Option B parameters'!$W$25:$W$40</c:f>
              <c:numCache>
                <c:formatCode>General</c:formatCode>
                <c:ptCount val="16"/>
                <c:pt idx="2">
                  <c:v>1.0355730356263675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B78-4553-A8CD-FA97E865D386}"/>
            </c:ext>
          </c:extLst>
        </c:ser>
        <c:ser>
          <c:idx val="2"/>
          <c:order val="2"/>
          <c:tx>
            <c:strRef>
              <c:f>'Modified Option B parameters'!$X$24</c:f>
              <c:strCache>
                <c:ptCount val="1"/>
                <c:pt idx="0">
                  <c:v>FAIL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'Modified Option B parameters'!$B$25:$B$40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xVal>
          <c:yVal>
            <c:numRef>
              <c:f>'Modified Option B parameters'!$X$25:$X$40</c:f>
              <c:numCache>
                <c:formatCode>General</c:formatCode>
                <c:ptCount val="16"/>
                <c:pt idx="2">
                  <c:v>1.0584768604229253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B78-4553-A8CD-FA97E865D3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7852808"/>
        <c:axId val="487853200"/>
      </c:scatterChart>
      <c:valAx>
        <c:axId val="4878528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87853200"/>
        <c:crosses val="autoZero"/>
        <c:crossBetween val="midCat"/>
      </c:valAx>
      <c:valAx>
        <c:axId val="487853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87852808"/>
        <c:crosses val="autoZero"/>
        <c:crossBetween val="midCat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'Modified Option B parameters'!$Y$24</c:f>
              <c:strCache>
                <c:ptCount val="1"/>
                <c:pt idx="0">
                  <c:v>Abweichung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'Modified Option B parameters'!$B$25:$B$40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xVal>
          <c:yVal>
            <c:numRef>
              <c:f>'Modified Option B parameters'!$Y$25:$Y$40</c:f>
              <c:numCache>
                <c:formatCode>General</c:formatCode>
                <c:ptCount val="16"/>
                <c:pt idx="0">
                  <c:v>0.9882352941176471</c:v>
                </c:pt>
                <c:pt idx="1">
                  <c:v>1</c:v>
                </c:pt>
                <c:pt idx="2">
                  <c:v>1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469-43BF-803B-FC51858636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7850064"/>
        <c:axId val="487851240"/>
      </c:scatterChart>
      <c:valAx>
        <c:axId val="4878500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87851240"/>
        <c:crosses val="autoZero"/>
        <c:crossBetween val="midCat"/>
      </c:valAx>
      <c:valAx>
        <c:axId val="487851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87850064"/>
        <c:crosses val="autoZero"/>
        <c:crossBetween val="midCat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'Modified Option B parameters'!$Y$24</c:f>
              <c:strCache>
                <c:ptCount val="1"/>
                <c:pt idx="0">
                  <c:v>Abweichung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'Modified Option B parameters'!$B$43:$B$58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xVal>
          <c:yVal>
            <c:numRef>
              <c:f>'Modified Option B parameters'!$Y$43:$Y$58</c:f>
              <c:numCache>
                <c:formatCode>General</c:formatCode>
                <c:ptCount val="16"/>
                <c:pt idx="0">
                  <c:v>-1</c:v>
                </c:pt>
                <c:pt idx="1">
                  <c:v>0</c:v>
                </c:pt>
                <c:pt idx="2">
                  <c:v>0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25B-4555-89CC-ECD1122DCD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7852024"/>
        <c:axId val="666775760"/>
      </c:scatterChart>
      <c:valAx>
        <c:axId val="4878520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66775760"/>
        <c:crosses val="autoZero"/>
        <c:crossBetween val="midCat"/>
      </c:valAx>
      <c:valAx>
        <c:axId val="666775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87852024"/>
        <c:crosses val="autoZero"/>
        <c:crossBetween val="midCat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'Modified Option B parameters'!$F$24</c:f>
              <c:strCache>
                <c:ptCount val="1"/>
                <c:pt idx="0">
                  <c:v>xi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'Modified Option B parameters'!$B$25:$B$40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xVal>
          <c:yVal>
            <c:numRef>
              <c:f>'Modified Option B parameters'!$U$43:$U$58</c:f>
              <c:numCache>
                <c:formatCode>General</c:formatCode>
                <c:ptCount val="16"/>
                <c:pt idx="0">
                  <c:v>-1</c:v>
                </c:pt>
                <c:pt idx="1">
                  <c:v>-0.5</c:v>
                </c:pt>
                <c:pt idx="2">
                  <c:v>-0.33333333333333331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491-411B-8BD3-C17C3040DFFB}"/>
            </c:ext>
          </c:extLst>
        </c:ser>
        <c:ser>
          <c:idx val="1"/>
          <c:order val="1"/>
          <c:tx>
            <c:strRef>
              <c:f>'Modified Option B parameters'!$W$42</c:f>
              <c:strCache>
                <c:ptCount val="1"/>
                <c:pt idx="0">
                  <c:v>PASS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'Modified Option B parameters'!$B$25:$B$40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xVal>
          <c:yVal>
            <c:numRef>
              <c:f>'Modified Option B parameters'!$W$43:$W$58</c:f>
              <c:numCache>
                <c:formatCode>General</c:formatCode>
                <c:ptCount val="16"/>
                <c:pt idx="2">
                  <c:v>3.7737080282412347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491-411B-8BD3-C17C3040DFFB}"/>
            </c:ext>
          </c:extLst>
        </c:ser>
        <c:ser>
          <c:idx val="2"/>
          <c:order val="2"/>
          <c:tx>
            <c:strRef>
              <c:f>'Modified Option B parameters'!$X$42</c:f>
              <c:strCache>
                <c:ptCount val="1"/>
                <c:pt idx="0">
                  <c:v>FAIL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'Modified Option B parameters'!$B$25:$B$40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xVal>
          <c:yVal>
            <c:numRef>
              <c:f>'Modified Option B parameters'!$X$43:$X$58</c:f>
              <c:numCache>
                <c:formatCode>General</c:formatCode>
                <c:ptCount val="16"/>
                <c:pt idx="2">
                  <c:v>5.7205331359486529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491-411B-8BD3-C17C3040DF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6772232"/>
        <c:axId val="666774192"/>
      </c:scatterChart>
      <c:valAx>
        <c:axId val="666772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66774192"/>
        <c:crosses val="autoZero"/>
        <c:crossBetween val="midCat"/>
      </c:valAx>
      <c:valAx>
        <c:axId val="666774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66772232"/>
        <c:crosses val="autoZero"/>
        <c:crossBetween val="midCat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'current Option B parameters'!$F$24</c:f>
              <c:strCache>
                <c:ptCount val="1"/>
                <c:pt idx="0">
                  <c:v>xi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'current Option B parameters'!$B$25:$B$40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xVal>
          <c:yVal>
            <c:numRef>
              <c:f>'current Option B parameters'!$U$25:$U$40</c:f>
              <c:numCache>
                <c:formatCode>General</c:formatCode>
                <c:ptCount val="16"/>
                <c:pt idx="0">
                  <c:v>0.9882352941176471</c:v>
                </c:pt>
                <c:pt idx="1">
                  <c:v>0.99411764705882355</c:v>
                </c:pt>
                <c:pt idx="2">
                  <c:v>1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DD2-4D25-8EE3-2706007419E5}"/>
            </c:ext>
          </c:extLst>
        </c:ser>
        <c:ser>
          <c:idx val="1"/>
          <c:order val="1"/>
          <c:tx>
            <c:strRef>
              <c:f>'current Option B parameters'!$W$24</c:f>
              <c:strCache>
                <c:ptCount val="1"/>
                <c:pt idx="0">
                  <c:v>PASS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'current Option B parameters'!$B$25:$B$40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xVal>
          <c:yVal>
            <c:numRef>
              <c:f>'current Option B parameters'!$W$25:$W$40</c:f>
              <c:numCache>
                <c:formatCode>General</c:formatCode>
                <c:ptCount val="16"/>
                <c:pt idx="2">
                  <c:v>1.0250117647058825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DD2-4D25-8EE3-2706007419E5}"/>
            </c:ext>
          </c:extLst>
        </c:ser>
        <c:ser>
          <c:idx val="2"/>
          <c:order val="2"/>
          <c:tx>
            <c:strRef>
              <c:f>'current Option B parameters'!$X$24</c:f>
              <c:strCache>
                <c:ptCount val="1"/>
                <c:pt idx="0">
                  <c:v>FAIL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'current Option B parameters'!$B$25:$B$40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xVal>
          <c:yVal>
            <c:numRef>
              <c:f>'current Option B parameters'!$X$25:$X$40</c:f>
              <c:numCache>
                <c:formatCode>General</c:formatCode>
                <c:ptCount val="16"/>
                <c:pt idx="2">
                  <c:v>1.0646823529411764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DD2-4D25-8EE3-2706007419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7852808"/>
        <c:axId val="487853200"/>
      </c:scatterChart>
      <c:valAx>
        <c:axId val="4878528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87853200"/>
        <c:crosses val="autoZero"/>
        <c:crossBetween val="midCat"/>
      </c:valAx>
      <c:valAx>
        <c:axId val="487853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87852808"/>
        <c:crosses val="autoZero"/>
        <c:crossBetween val="midCat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'current Option B parameters'!$Y$24</c:f>
              <c:strCache>
                <c:ptCount val="1"/>
                <c:pt idx="0">
                  <c:v>Abweichung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'current Option B parameters'!$B$25:$B$40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xVal>
          <c:yVal>
            <c:numRef>
              <c:f>'current Option B parameters'!$Y$25:$Y$40</c:f>
              <c:numCache>
                <c:formatCode>General</c:formatCode>
                <c:ptCount val="16"/>
                <c:pt idx="0">
                  <c:v>0.9882352941176471</c:v>
                </c:pt>
                <c:pt idx="1">
                  <c:v>1</c:v>
                </c:pt>
                <c:pt idx="2">
                  <c:v>1.0117647058823529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705-46AE-BD8A-72E4335E75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7850064"/>
        <c:axId val="487851240"/>
      </c:scatterChart>
      <c:valAx>
        <c:axId val="4878500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87851240"/>
        <c:crosses val="autoZero"/>
        <c:crossBetween val="midCat"/>
      </c:valAx>
      <c:valAx>
        <c:axId val="487851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87850064"/>
        <c:crosses val="autoZero"/>
        <c:crossBetween val="midCat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'current Option B parameters'!$Y$24</c:f>
              <c:strCache>
                <c:ptCount val="1"/>
                <c:pt idx="0">
                  <c:v>Abweichung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'current Option B parameters'!$B$43:$B$58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xVal>
          <c:yVal>
            <c:numRef>
              <c:f>'current Option B parameters'!$Y$43:$Y$58</c:f>
              <c:numCache>
                <c:formatCode>General</c:formatCode>
                <c:ptCount val="16"/>
                <c:pt idx="0">
                  <c:v>-1</c:v>
                </c:pt>
                <c:pt idx="1">
                  <c:v>0</c:v>
                </c:pt>
                <c:pt idx="2">
                  <c:v>1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3FA-4CD0-8AC5-58624B6A14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7852024"/>
        <c:axId val="666775760"/>
      </c:scatterChart>
      <c:valAx>
        <c:axId val="4878520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66775760"/>
        <c:crosses val="autoZero"/>
        <c:crossBetween val="midCat"/>
      </c:valAx>
      <c:valAx>
        <c:axId val="666775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87852024"/>
        <c:crosses val="autoZero"/>
        <c:crossBetween val="midCat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'current Option B parameters'!$F$24</c:f>
              <c:strCache>
                <c:ptCount val="1"/>
                <c:pt idx="0">
                  <c:v>xi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'current Option B parameters'!$B$25:$B$40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xVal>
          <c:yVal>
            <c:numRef>
              <c:f>'current Option B parameters'!$U$43:$U$58</c:f>
              <c:numCache>
                <c:formatCode>General</c:formatCode>
                <c:ptCount val="16"/>
                <c:pt idx="0">
                  <c:v>-1</c:v>
                </c:pt>
                <c:pt idx="1">
                  <c:v>-0.5</c:v>
                </c:pt>
                <c:pt idx="2">
                  <c:v>0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9DB-4A06-B332-B17F92840640}"/>
            </c:ext>
          </c:extLst>
        </c:ser>
        <c:ser>
          <c:idx val="1"/>
          <c:order val="1"/>
          <c:tx>
            <c:strRef>
              <c:f>'current Option B parameters'!$W$42</c:f>
              <c:strCache>
                <c:ptCount val="1"/>
                <c:pt idx="0">
                  <c:v>PASS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'current Option B parameters'!$B$25:$B$40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xVal>
          <c:yVal>
            <c:numRef>
              <c:f>'current Option B parameters'!$W$43:$W$58</c:f>
              <c:numCache>
                <c:formatCode>General</c:formatCode>
                <c:ptCount val="16"/>
                <c:pt idx="2">
                  <c:v>2.8759999999999999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9DB-4A06-B332-B17F92840640}"/>
            </c:ext>
          </c:extLst>
        </c:ser>
        <c:ser>
          <c:idx val="2"/>
          <c:order val="2"/>
          <c:tx>
            <c:strRef>
              <c:f>'current Option B parameters'!$X$42</c:f>
              <c:strCache>
                <c:ptCount val="1"/>
                <c:pt idx="0">
                  <c:v>FAIL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'current Option B parameters'!$B$25:$B$40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xVal>
          <c:yVal>
            <c:numRef>
              <c:f>'current Option B parameters'!$X$43:$X$58</c:f>
              <c:numCache>
                <c:formatCode>General</c:formatCode>
                <c:ptCount val="16"/>
                <c:pt idx="2">
                  <c:v>6.2480000000000002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9DB-4A06-B332-B17F928406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6772232"/>
        <c:axId val="666774192"/>
      </c:scatterChart>
      <c:valAx>
        <c:axId val="666772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66774192"/>
        <c:crosses val="autoZero"/>
        <c:crossBetween val="midCat"/>
      </c:valAx>
      <c:valAx>
        <c:axId val="666774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66772232"/>
        <c:crosses val="autoZero"/>
        <c:crossBetween val="midCat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317500</xdr:colOff>
      <xdr:row>29</xdr:row>
      <xdr:rowOff>88900</xdr:rowOff>
    </xdr:from>
    <xdr:to>
      <xdr:col>32</xdr:col>
      <xdr:colOff>0</xdr:colOff>
      <xdr:row>39</xdr:row>
      <xdr:rowOff>63500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304801</xdr:colOff>
      <xdr:row>23</xdr:row>
      <xdr:rowOff>138906</xdr:rowOff>
    </xdr:from>
    <xdr:to>
      <xdr:col>31</xdr:col>
      <xdr:colOff>833437</xdr:colOff>
      <xdr:row>29</xdr:row>
      <xdr:rowOff>138906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119987</xdr:colOff>
      <xdr:row>42</xdr:row>
      <xdr:rowOff>63500</xdr:rowOff>
    </xdr:from>
    <xdr:to>
      <xdr:col>32</xdr:col>
      <xdr:colOff>101601</xdr:colOff>
      <xdr:row>48</xdr:row>
      <xdr:rowOff>63500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26</xdr:col>
      <xdr:colOff>114300</xdr:colOff>
      <xdr:row>48</xdr:row>
      <xdr:rowOff>38100</xdr:rowOff>
    </xdr:from>
    <xdr:to>
      <xdr:col>32</xdr:col>
      <xdr:colOff>114300</xdr:colOff>
      <xdr:row>57</xdr:row>
      <xdr:rowOff>38099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2349500</xdr:colOff>
      <xdr:row>70</xdr:row>
      <xdr:rowOff>0</xdr:rowOff>
    </xdr:from>
    <xdr:to>
      <xdr:col>1</xdr:col>
      <xdr:colOff>368300</xdr:colOff>
      <xdr:row>79</xdr:row>
      <xdr:rowOff>139700</xdr:rowOff>
    </xdr:to>
    <xdr:sp macro="" textlink="">
      <xdr:nvSpPr>
        <xdr:cNvPr id="6" name="Geschweifte Klammer links 5"/>
        <xdr:cNvSpPr/>
      </xdr:nvSpPr>
      <xdr:spPr>
        <a:xfrm>
          <a:off x="2349500" y="12922250"/>
          <a:ext cx="419100" cy="1739900"/>
        </a:xfrm>
        <a:prstGeom prst="leftBrace">
          <a:avLst/>
        </a:prstGeom>
        <a:ln w="9525">
          <a:solidFill>
            <a:schemeClr val="accent3">
              <a:lumMod val="75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0</xdr:col>
      <xdr:colOff>575128</xdr:colOff>
      <xdr:row>3</xdr:row>
      <xdr:rowOff>19956</xdr:rowOff>
    </xdr:from>
    <xdr:to>
      <xdr:col>0</xdr:col>
      <xdr:colOff>752929</xdr:colOff>
      <xdr:row>22</xdr:row>
      <xdr:rowOff>108856</xdr:rowOff>
    </xdr:to>
    <xdr:sp macro="" textlink="">
      <xdr:nvSpPr>
        <xdr:cNvPr id="7" name="Geschweifte Klammer links 6"/>
        <xdr:cNvSpPr/>
      </xdr:nvSpPr>
      <xdr:spPr>
        <a:xfrm>
          <a:off x="575128" y="572406"/>
          <a:ext cx="177801" cy="3492500"/>
        </a:xfrm>
        <a:prstGeom prst="leftBrace">
          <a:avLst/>
        </a:prstGeom>
        <a:ln w="9525">
          <a:solidFill>
            <a:schemeClr val="accent3">
              <a:lumMod val="75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0</xdr:col>
      <xdr:colOff>1344385</xdr:colOff>
      <xdr:row>3</xdr:row>
      <xdr:rowOff>16328</xdr:rowOff>
    </xdr:from>
    <xdr:to>
      <xdr:col>0</xdr:col>
      <xdr:colOff>1524000</xdr:colOff>
      <xdr:row>18</xdr:row>
      <xdr:rowOff>127000</xdr:rowOff>
    </xdr:to>
    <xdr:sp macro="" textlink="">
      <xdr:nvSpPr>
        <xdr:cNvPr id="8" name="Geschweifte Klammer links 7"/>
        <xdr:cNvSpPr/>
      </xdr:nvSpPr>
      <xdr:spPr>
        <a:xfrm>
          <a:off x="1344385" y="568778"/>
          <a:ext cx="179615" cy="2796722"/>
        </a:xfrm>
        <a:prstGeom prst="leftBrace">
          <a:avLst/>
        </a:prstGeom>
        <a:ln w="9525">
          <a:solidFill>
            <a:schemeClr val="accent3">
              <a:lumMod val="75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0</xdr:col>
      <xdr:colOff>1993900</xdr:colOff>
      <xdr:row>3</xdr:row>
      <xdr:rowOff>12700</xdr:rowOff>
    </xdr:from>
    <xdr:to>
      <xdr:col>0</xdr:col>
      <xdr:colOff>2197100</xdr:colOff>
      <xdr:row>12</xdr:row>
      <xdr:rowOff>127000</xdr:rowOff>
    </xdr:to>
    <xdr:sp macro="" textlink="">
      <xdr:nvSpPr>
        <xdr:cNvPr id="9" name="Geschweifte Klammer links 8"/>
        <xdr:cNvSpPr/>
      </xdr:nvSpPr>
      <xdr:spPr>
        <a:xfrm>
          <a:off x="1993900" y="565150"/>
          <a:ext cx="203200" cy="1720850"/>
        </a:xfrm>
        <a:prstGeom prst="leftBrace">
          <a:avLst/>
        </a:prstGeom>
        <a:ln w="9525">
          <a:solidFill>
            <a:schemeClr val="accent3">
              <a:lumMod val="75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oneCellAnchor>
    <xdr:from>
      <xdr:col>0</xdr:col>
      <xdr:colOff>1631949</xdr:colOff>
      <xdr:row>5</xdr:row>
      <xdr:rowOff>28121</xdr:rowOff>
    </xdr:from>
    <xdr:ext cx="362857" cy="887185"/>
    <xdr:sp macro="" textlink="">
      <xdr:nvSpPr>
        <xdr:cNvPr id="10" name="Textfeld 9"/>
        <xdr:cNvSpPr txBox="1"/>
      </xdr:nvSpPr>
      <xdr:spPr>
        <a:xfrm rot="5400000">
          <a:off x="1369785" y="1198335"/>
          <a:ext cx="887185" cy="362857"/>
        </a:xfrm>
        <a:prstGeom prst="rect">
          <a:avLst/>
        </a:prstGeom>
        <a:solidFill>
          <a:sysClr val="window" lastClr="FFFFFF"/>
        </a:solidFill>
      </xdr:spPr>
      <xdr:txBody>
        <a:bodyPr vertOverflow="clip" horzOverflow="clip" vert="horz" wrap="square" lIns="0" tIns="0" rIns="0" bIns="0" rtlCol="0" anchor="ctr">
          <a:noAutofit/>
        </a:bodyPr>
        <a:lstStyle/>
        <a:p>
          <a:pPr algn="ctr" rtl="0" eaLnBrk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de-DE" sz="1200" b="0" i="0" u="none" baseline="0" dirty="0" err="1" smtClean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Option A1 </a:t>
          </a:r>
        </a:p>
      </xdr:txBody>
    </xdr:sp>
    <xdr:clientData/>
  </xdr:oneCellAnchor>
  <xdr:oneCellAnchor>
    <xdr:from>
      <xdr:col>0</xdr:col>
      <xdr:colOff>913492</xdr:colOff>
      <xdr:row>8</xdr:row>
      <xdr:rowOff>107950</xdr:rowOff>
    </xdr:from>
    <xdr:ext cx="362857" cy="887185"/>
    <xdr:sp macro="" textlink="">
      <xdr:nvSpPr>
        <xdr:cNvPr id="11" name="Textfeld 10"/>
        <xdr:cNvSpPr txBox="1"/>
      </xdr:nvSpPr>
      <xdr:spPr>
        <a:xfrm rot="5400000">
          <a:off x="651328" y="1811564"/>
          <a:ext cx="887185" cy="362857"/>
        </a:xfrm>
        <a:prstGeom prst="rect">
          <a:avLst/>
        </a:prstGeom>
        <a:solidFill>
          <a:sysClr val="window" lastClr="FFFFFF"/>
        </a:solidFill>
      </xdr:spPr>
      <xdr:txBody>
        <a:bodyPr vertOverflow="clip" horzOverflow="clip" vert="horz" wrap="square" lIns="0" tIns="0" rIns="0" bIns="0" rtlCol="0" anchor="ctr">
          <a:noAutofit/>
        </a:bodyPr>
        <a:lstStyle/>
        <a:p>
          <a:pPr algn="ctr" rtl="0" eaLnBrk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de-DE" sz="1200" b="0" i="0" u="none" baseline="0" dirty="0" err="1" smtClean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Option B </a:t>
          </a:r>
        </a:p>
      </xdr:txBody>
    </xdr:sp>
    <xdr:clientData/>
  </xdr:oneCellAnchor>
  <xdr:oneCellAnchor>
    <xdr:from>
      <xdr:col>0</xdr:col>
      <xdr:colOff>158750</xdr:colOff>
      <xdr:row>10</xdr:row>
      <xdr:rowOff>78921</xdr:rowOff>
    </xdr:from>
    <xdr:ext cx="362857" cy="887185"/>
    <xdr:sp macro="" textlink="">
      <xdr:nvSpPr>
        <xdr:cNvPr id="12" name="Textfeld 11"/>
        <xdr:cNvSpPr txBox="1"/>
      </xdr:nvSpPr>
      <xdr:spPr>
        <a:xfrm rot="5400000">
          <a:off x="-103414" y="2138135"/>
          <a:ext cx="887185" cy="362857"/>
        </a:xfrm>
        <a:prstGeom prst="rect">
          <a:avLst/>
        </a:prstGeom>
        <a:solidFill>
          <a:sysClr val="window" lastClr="FFFFFF"/>
        </a:solidFill>
      </xdr:spPr>
      <xdr:txBody>
        <a:bodyPr vertOverflow="clip" horzOverflow="clip" vert="horz" wrap="square" lIns="0" tIns="0" rIns="0" bIns="0" rtlCol="0" anchor="ctr">
          <a:noAutofit/>
        </a:bodyPr>
        <a:lstStyle/>
        <a:p>
          <a:pPr algn="ctr" rtl="0" eaLnBrk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de-DE" sz="1200" b="0" i="0" u="none" baseline="0" dirty="0" err="1" smtClean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Option A2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317500</xdr:colOff>
      <xdr:row>29</xdr:row>
      <xdr:rowOff>88900</xdr:rowOff>
    </xdr:from>
    <xdr:to>
      <xdr:col>32</xdr:col>
      <xdr:colOff>0</xdr:colOff>
      <xdr:row>39</xdr:row>
      <xdr:rowOff>63500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304801</xdr:colOff>
      <xdr:row>23</xdr:row>
      <xdr:rowOff>138906</xdr:rowOff>
    </xdr:from>
    <xdr:to>
      <xdr:col>31</xdr:col>
      <xdr:colOff>833437</xdr:colOff>
      <xdr:row>29</xdr:row>
      <xdr:rowOff>138906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119987</xdr:colOff>
      <xdr:row>42</xdr:row>
      <xdr:rowOff>63500</xdr:rowOff>
    </xdr:from>
    <xdr:to>
      <xdr:col>32</xdr:col>
      <xdr:colOff>101601</xdr:colOff>
      <xdr:row>48</xdr:row>
      <xdr:rowOff>63500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26</xdr:col>
      <xdr:colOff>114300</xdr:colOff>
      <xdr:row>48</xdr:row>
      <xdr:rowOff>38100</xdr:rowOff>
    </xdr:from>
    <xdr:to>
      <xdr:col>32</xdr:col>
      <xdr:colOff>114300</xdr:colOff>
      <xdr:row>57</xdr:row>
      <xdr:rowOff>38099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2349500</xdr:colOff>
      <xdr:row>70</xdr:row>
      <xdr:rowOff>0</xdr:rowOff>
    </xdr:from>
    <xdr:to>
      <xdr:col>1</xdr:col>
      <xdr:colOff>368300</xdr:colOff>
      <xdr:row>79</xdr:row>
      <xdr:rowOff>139700</xdr:rowOff>
    </xdr:to>
    <xdr:sp macro="" textlink="">
      <xdr:nvSpPr>
        <xdr:cNvPr id="6" name="Geschweifte Klammer links 5"/>
        <xdr:cNvSpPr/>
      </xdr:nvSpPr>
      <xdr:spPr>
        <a:xfrm>
          <a:off x="2349500" y="13004800"/>
          <a:ext cx="419100" cy="1739900"/>
        </a:xfrm>
        <a:prstGeom prst="leftBrace">
          <a:avLst/>
        </a:prstGeom>
        <a:ln w="9525">
          <a:solidFill>
            <a:schemeClr val="accent3">
              <a:lumMod val="75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0</xdr:col>
      <xdr:colOff>575128</xdr:colOff>
      <xdr:row>3</xdr:row>
      <xdr:rowOff>19956</xdr:rowOff>
    </xdr:from>
    <xdr:to>
      <xdr:col>0</xdr:col>
      <xdr:colOff>752929</xdr:colOff>
      <xdr:row>22</xdr:row>
      <xdr:rowOff>108856</xdr:rowOff>
    </xdr:to>
    <xdr:sp macro="" textlink="">
      <xdr:nvSpPr>
        <xdr:cNvPr id="7" name="Geschweifte Klammer links 6"/>
        <xdr:cNvSpPr/>
      </xdr:nvSpPr>
      <xdr:spPr>
        <a:xfrm>
          <a:off x="575128" y="564242"/>
          <a:ext cx="177801" cy="3536043"/>
        </a:xfrm>
        <a:prstGeom prst="leftBrace">
          <a:avLst/>
        </a:prstGeom>
        <a:ln w="9525">
          <a:solidFill>
            <a:schemeClr val="accent3">
              <a:lumMod val="75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0</xdr:col>
      <xdr:colOff>1344385</xdr:colOff>
      <xdr:row>3</xdr:row>
      <xdr:rowOff>16328</xdr:rowOff>
    </xdr:from>
    <xdr:to>
      <xdr:col>0</xdr:col>
      <xdr:colOff>1524000</xdr:colOff>
      <xdr:row>18</xdr:row>
      <xdr:rowOff>127000</xdr:rowOff>
    </xdr:to>
    <xdr:sp macro="" textlink="">
      <xdr:nvSpPr>
        <xdr:cNvPr id="9" name="Geschweifte Klammer links 8"/>
        <xdr:cNvSpPr/>
      </xdr:nvSpPr>
      <xdr:spPr>
        <a:xfrm>
          <a:off x="1344385" y="560614"/>
          <a:ext cx="179615" cy="2832100"/>
        </a:xfrm>
        <a:prstGeom prst="leftBrace">
          <a:avLst/>
        </a:prstGeom>
        <a:ln w="9525">
          <a:solidFill>
            <a:schemeClr val="accent3">
              <a:lumMod val="75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0</xdr:col>
      <xdr:colOff>1993900</xdr:colOff>
      <xdr:row>3</xdr:row>
      <xdr:rowOff>12700</xdr:rowOff>
    </xdr:from>
    <xdr:to>
      <xdr:col>0</xdr:col>
      <xdr:colOff>2197100</xdr:colOff>
      <xdr:row>12</xdr:row>
      <xdr:rowOff>127000</xdr:rowOff>
    </xdr:to>
    <xdr:sp macro="" textlink="">
      <xdr:nvSpPr>
        <xdr:cNvPr id="11" name="Geschweifte Klammer links 10"/>
        <xdr:cNvSpPr/>
      </xdr:nvSpPr>
      <xdr:spPr>
        <a:xfrm>
          <a:off x="1993900" y="584200"/>
          <a:ext cx="203200" cy="1714500"/>
        </a:xfrm>
        <a:prstGeom prst="leftBrace">
          <a:avLst/>
        </a:prstGeom>
        <a:ln w="9525">
          <a:solidFill>
            <a:schemeClr val="accent3">
              <a:lumMod val="75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oneCellAnchor>
    <xdr:from>
      <xdr:col>0</xdr:col>
      <xdr:colOff>1631949</xdr:colOff>
      <xdr:row>5</xdr:row>
      <xdr:rowOff>28121</xdr:rowOff>
    </xdr:from>
    <xdr:ext cx="362857" cy="887185"/>
    <xdr:sp macro="" textlink="">
      <xdr:nvSpPr>
        <xdr:cNvPr id="12" name="Textfeld 11"/>
        <xdr:cNvSpPr txBox="1"/>
      </xdr:nvSpPr>
      <xdr:spPr>
        <a:xfrm rot="5400000">
          <a:off x="1369785" y="1197428"/>
          <a:ext cx="887185" cy="362857"/>
        </a:xfrm>
        <a:prstGeom prst="rect">
          <a:avLst/>
        </a:prstGeom>
        <a:solidFill>
          <a:sysClr val="window" lastClr="FFFFFF"/>
        </a:solidFill>
      </xdr:spPr>
      <xdr:txBody>
        <a:bodyPr vertOverflow="clip" horzOverflow="clip" vert="horz" wrap="square" lIns="0" tIns="0" rIns="0" bIns="0" rtlCol="0" anchor="ctr">
          <a:noAutofit/>
        </a:bodyPr>
        <a:lstStyle/>
        <a:p>
          <a:pPr algn="ctr" rtl="0" eaLnBrk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de-DE" sz="1200" b="0" i="0" u="none" baseline="0" dirty="0" err="1" smtClean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Option A1 </a:t>
          </a:r>
        </a:p>
      </xdr:txBody>
    </xdr:sp>
    <xdr:clientData/>
  </xdr:oneCellAnchor>
  <xdr:oneCellAnchor>
    <xdr:from>
      <xdr:col>0</xdr:col>
      <xdr:colOff>913492</xdr:colOff>
      <xdr:row>8</xdr:row>
      <xdr:rowOff>107950</xdr:rowOff>
    </xdr:from>
    <xdr:ext cx="362857" cy="887185"/>
    <xdr:sp macro="" textlink="">
      <xdr:nvSpPr>
        <xdr:cNvPr id="13" name="Textfeld 12"/>
        <xdr:cNvSpPr txBox="1"/>
      </xdr:nvSpPr>
      <xdr:spPr>
        <a:xfrm rot="5400000">
          <a:off x="651328" y="1821543"/>
          <a:ext cx="887185" cy="362857"/>
        </a:xfrm>
        <a:prstGeom prst="rect">
          <a:avLst/>
        </a:prstGeom>
        <a:solidFill>
          <a:sysClr val="window" lastClr="FFFFFF"/>
        </a:solidFill>
      </xdr:spPr>
      <xdr:txBody>
        <a:bodyPr vertOverflow="clip" horzOverflow="clip" vert="horz" wrap="square" lIns="0" tIns="0" rIns="0" bIns="0" rtlCol="0" anchor="ctr">
          <a:noAutofit/>
        </a:bodyPr>
        <a:lstStyle/>
        <a:p>
          <a:pPr algn="ctr" rtl="0" eaLnBrk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de-DE" sz="1200" b="0" i="0" u="none" baseline="0" dirty="0" err="1" smtClean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Option B </a:t>
          </a:r>
        </a:p>
      </xdr:txBody>
    </xdr:sp>
    <xdr:clientData/>
  </xdr:oneCellAnchor>
  <xdr:oneCellAnchor>
    <xdr:from>
      <xdr:col>0</xdr:col>
      <xdr:colOff>158750</xdr:colOff>
      <xdr:row>10</xdr:row>
      <xdr:rowOff>78921</xdr:rowOff>
    </xdr:from>
    <xdr:ext cx="362857" cy="887185"/>
    <xdr:sp macro="" textlink="">
      <xdr:nvSpPr>
        <xdr:cNvPr id="14" name="Textfeld 13"/>
        <xdr:cNvSpPr txBox="1"/>
      </xdr:nvSpPr>
      <xdr:spPr>
        <a:xfrm rot="5400000">
          <a:off x="-103414" y="2155371"/>
          <a:ext cx="887185" cy="362857"/>
        </a:xfrm>
        <a:prstGeom prst="rect">
          <a:avLst/>
        </a:prstGeom>
        <a:solidFill>
          <a:sysClr val="window" lastClr="FFFFFF"/>
        </a:solidFill>
      </xdr:spPr>
      <xdr:txBody>
        <a:bodyPr vertOverflow="clip" horzOverflow="clip" vert="horz" wrap="square" lIns="0" tIns="0" rIns="0" bIns="0" rtlCol="0" anchor="ctr">
          <a:noAutofit/>
        </a:bodyPr>
        <a:lstStyle/>
        <a:p>
          <a:pPr algn="ctr" rtl="0" eaLnBrk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de-DE" sz="1200" b="0" i="0" u="none" baseline="0" dirty="0" err="1" smtClean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Option A2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BMW">
  <a:themeElements>
    <a:clrScheme name="Benutzerdefiniert 68">
      <a:dk1>
        <a:srgbClr val="000000"/>
      </a:dk1>
      <a:lt1>
        <a:sysClr val="window" lastClr="FFFFFF"/>
      </a:lt1>
      <a:dk2>
        <a:srgbClr val="404040"/>
      </a:dk2>
      <a:lt2>
        <a:srgbClr val="92A2BD"/>
      </a:lt2>
      <a:accent1>
        <a:srgbClr val="667184"/>
      </a:accent1>
      <a:accent2>
        <a:srgbClr val="92A2BD"/>
      </a:accent2>
      <a:accent3>
        <a:srgbClr val="ADB9CE"/>
      </a:accent3>
      <a:accent4>
        <a:srgbClr val="C9D1DE"/>
      </a:accent4>
      <a:accent5>
        <a:srgbClr val="E4E8EE"/>
      </a:accent5>
      <a:accent6>
        <a:srgbClr val="DDDAD2"/>
      </a:accent6>
      <a:hlink>
        <a:srgbClr val="000000"/>
      </a:hlink>
      <a:folHlink>
        <a:srgbClr val="000000"/>
      </a:folHlink>
    </a:clrScheme>
    <a:fontScheme name="BMW GROUP">
      <a:majorFont>
        <a:latin typeface="BMW Group Condensed"/>
        <a:ea typeface=""/>
        <a:cs typeface=""/>
      </a:majorFont>
      <a:minorFont>
        <a:latin typeface="BMW Group Condensed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CCCCCC"/>
        </a:solidFill>
        <a:ln>
          <a:noFill/>
        </a:ln>
      </a:spPr>
      <a:bodyPr rtlCol="0" anchor="t"/>
      <a:lstStyle>
        <a:defPPr algn="l" rtl="0" eaLnBrk="1" fontAlgn="auto" hangingPunct="1">
          <a:lnSpc>
            <a:spcPct val="100000"/>
          </a:lnSpc>
          <a:spcBef>
            <a:spcPts val="0"/>
          </a:spcBef>
          <a:spcAft>
            <a:spcPts val="0"/>
          </a:spcAft>
          <a:defRPr sz="1800" b="0" i="0" u="none" baseline="0" dirty="0" err="1" smtClean="0">
            <a:solidFill>
              <a:srgbClr val="666666"/>
            </a:solidFill>
            <a:latin typeface="BMW Group Condensed" panose="020B0606020202020204" pitchFamily="34" charset="0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 w="9525">
          <a:solidFill>
            <a:schemeClr val="accent3">
              <a:lumMod val="75000"/>
            </a:schemeClr>
          </a:solidFill>
          <a:tailEnd type="none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>
        <a:noFill/>
      </a:spPr>
      <a:bodyPr vert="horz" wrap="none" lIns="0" tIns="0" rIns="0" bIns="0" rtlCol="0">
        <a:spAutoFit/>
      </a:bodyPr>
      <a:lstStyle>
        <a:defPPr algn="l" rtl="0" eaLnBrk="1" fontAlgn="auto" hangingPunct="1">
          <a:lnSpc>
            <a:spcPct val="100000"/>
          </a:lnSpc>
          <a:spcBef>
            <a:spcPts val="0"/>
          </a:spcBef>
          <a:spcAft>
            <a:spcPts val="0"/>
          </a:spcAft>
          <a:defRPr sz="1800" b="0" i="0" u="none" baseline="0" dirty="0" err="1" smtClean="0">
            <a:solidFill>
              <a:srgbClr val="000000"/>
            </a:solidFill>
            <a:latin typeface="BMW Group Condensed" panose="020B0606020202020204" pitchFamily="34" charset="0"/>
          </a:defRPr>
        </a:defPPr>
      </a:lstStyle>
    </a:txDef>
  </a:objectDefaults>
  <a:extraClrSchemeLst/>
  <a:custClrLst>
    <a:custClr name="Grundfarbe Schwarz">
      <a:srgbClr val="000000"/>
    </a:custClr>
    <a:custClr name="Grundfarbe Graubraun 1">
      <a:srgbClr val="555147"/>
    </a:custClr>
    <a:custClr name="Grundfarbe Blau 1">
      <a:srgbClr val="667084"/>
    </a:custClr>
    <a:custClr name="Grundfarbe Gruen 1">
      <a:srgbClr val="747400"/>
    </a:custClr>
    <a:custClr name="Grundfarbe Gelb 1">
      <a:srgbClr val="BE9809"/>
    </a:custClr>
    <a:custClr name="Akzentfarbe Orange 1">
      <a:srgbClr val="FE6700"/>
    </a:custClr>
    <a:custClr name="Akzentfarbe Braun 1">
      <a:srgbClr val="5B4334"/>
    </a:custClr>
    <a:custClr name="Akzentfarbe Rot 1">
      <a:srgbClr val="7C0A0E"/>
    </a:custClr>
    <a:custClr name="Zusatzfarbe Blau 1">
      <a:srgbClr val="3F7BFD"/>
    </a:custClr>
    <a:custClr name="Zusatzfarbe Gruen 1">
      <a:srgbClr val="3D6A3C"/>
    </a:custClr>
    <a:custClr name="Grundfarbe Grau 1">
      <a:srgbClr val="404040"/>
    </a:custClr>
    <a:custClr name="Grundfarbe Graubraun 2">
      <a:srgbClr val="7F7A6A"/>
    </a:custClr>
    <a:custClr name="Grundfarbe Blau 2">
      <a:srgbClr val="92A2BD"/>
    </a:custClr>
    <a:custClr name="Grundfarbe Gruen 2">
      <a:srgbClr val="959500"/>
    </a:custClr>
    <a:custClr name="Grundfarbe Gelb 2">
      <a:srgbClr val="FECB00"/>
    </a:custClr>
    <a:custClr name="Akzentfarbe Orange 2">
      <a:srgbClr val="FE8533"/>
    </a:custClr>
    <a:custClr name="Akzentfarbe Braun 2">
      <a:srgbClr val="9C5C48"/>
    </a:custClr>
    <a:custClr name="Akzentfarbe Rot 2">
      <a:srgbClr val="B20F14"/>
    </a:custClr>
    <a:custClr name="Zusatzfarbe Blau 2">
      <a:srgbClr val="6595FD"/>
    </a:custClr>
    <a:custClr name="Zusatzfarbe Gruen 2">
      <a:srgbClr val="648863"/>
    </a:custClr>
    <a:custClr name="Grundfarbe Grau 2">
      <a:srgbClr val="666666"/>
    </a:custClr>
    <a:custClr name="Grundfarbe Graubraun 3">
      <a:srgbClr val="AAA38E"/>
    </a:custClr>
    <a:custClr name="Grundfarbe Blau 3">
      <a:srgbClr val="ADB9CE"/>
    </a:custClr>
    <a:custClr name="Grundfarbe Gruen 3">
      <a:srgbClr val="B0B040"/>
    </a:custClr>
    <a:custClr name="Grundfarbe Gelb 3">
      <a:srgbClr val="FEE372"/>
    </a:custClr>
    <a:custClr name="Akzentfarbe Orange 3">
      <a:srgbClr val="FEA466"/>
    </a:custClr>
    <a:custClr name="Akzentfarbe Braun 3">
      <a:srgbClr val="976F57"/>
    </a:custClr>
    <a:custClr name="Akzentfarbe Rot 3">
      <a:srgbClr val="D16F72"/>
    </a:custClr>
    <a:custClr name="Zusatzfarbe Blau 3">
      <a:srgbClr val="8CB0FE"/>
    </a:custClr>
    <a:custClr name="Zusatzfarbe Gruen 3">
      <a:srgbClr val="8BA68A"/>
    </a:custClr>
    <a:custClr name="Grundfarbe Grau 3">
      <a:srgbClr val="999999"/>
    </a:custClr>
    <a:custClr name="Grundfarbe Graubraun 4">
      <a:srgbClr val="BFBAAA"/>
    </a:custClr>
    <a:custClr name="Grundfarbe Blau 4">
      <a:srgbClr val="C9D1DE"/>
    </a:custClr>
    <a:custClr name="Grundfarbe Gruen 4">
      <a:srgbClr val="CFCF8C"/>
    </a:custClr>
    <a:custClr name="Grundfarbe Gelb 4">
      <a:srgbClr val="FFEA99"/>
    </a:custClr>
    <a:custClr name="Akzentfarbe Orange 4">
      <a:srgbClr val="FFC299"/>
    </a:custClr>
    <a:custClr name="Akzentfarbe Braun 4">
      <a:srgbClr val="B19395"/>
    </a:custClr>
    <a:custClr name="Akzentfarbe Rot 4">
      <a:srgbClr val="DF9A9C"/>
    </a:custClr>
    <a:custClr name="Zusatzfarbe Blau 4">
      <a:srgbClr val="B2CAFE"/>
    </a:custClr>
    <a:custClr name="Zusatzfarbe Gruen 4">
      <a:srgbClr val="B1C3B1"/>
    </a:custClr>
    <a:custClr name="Grundfarbe Grau 4">
      <a:srgbClr val="CCCCCC"/>
    </a:custClr>
    <a:custClr name="Grundfarbe Graubraun 5">
      <a:srgbClr val="DDDAD2"/>
    </a:custClr>
    <a:custClr name="Grundfarbe Blau 5">
      <a:srgbClr val="E4E8EE"/>
    </a:custClr>
    <a:custClr name="Grundfarbe Gruen 5">
      <a:srgbClr val="EAEACC"/>
    </a:custClr>
    <a:custClr name="Grundfarbe Gelb 5">
      <a:srgbClr val="FFF5CC"/>
    </a:custClr>
    <a:custClr name="Akzentfarbe Orange 5">
      <a:srgbClr val="FFE1CC"/>
    </a:custClr>
    <a:custClr name="Akzentfarbe Braun 5">
      <a:srgbClr val="C8B3A6"/>
    </a:custClr>
    <a:custClr name="Akzentfarbe Rot 5">
      <a:srgbClr val="EABEBF"/>
    </a:custClr>
    <a:custClr name="Zusatzfarbe Blau 5">
      <a:srgbClr val="D9E5FF"/>
    </a:custClr>
    <a:custClr name="Zusatzfarbe Gruen 5">
      <a:srgbClr val="D8E1D8"/>
    </a:custClr>
  </a:custClrLst>
  <a:extLst>
    <a:ext uri="{05A4C25C-085E-4340-85A3-A5531E510DB2}">
      <thm15:themeFamily xmlns:thm15="http://schemas.microsoft.com/office/thememl/2012/main" name="BMW" id="{34D9DCBD-D85B-4EDB-9A3F-D3A1F43B2C8E}" vid="{A57D1A87-E024-412E-B2BB-84551590B2C8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7"/>
  <sheetViews>
    <sheetView tabSelected="1" topLeftCell="D22" zoomScale="70" zoomScaleNormal="70" workbookViewId="0">
      <selection activeCell="F14" sqref="F14"/>
    </sheetView>
  </sheetViews>
  <sheetFormatPr baseColWidth="10" defaultColWidth="11" defaultRowHeight="14" outlineLevelCol="1"/>
  <cols>
    <col min="1" max="1" width="31.5" style="1" customWidth="1"/>
    <col min="2" max="2" width="17.33203125" style="1" customWidth="1"/>
    <col min="3" max="3" width="11" style="1" customWidth="1"/>
    <col min="4" max="4" width="17" style="1" customWidth="1"/>
    <col min="5" max="5" width="15.33203125" style="1" customWidth="1"/>
    <col min="6" max="7" width="11" style="1"/>
    <col min="8" max="8" width="11.75" style="1" customWidth="1"/>
    <col min="9" max="9" width="23.33203125" style="1" customWidth="1"/>
    <col min="10" max="10" width="15.25" style="1" customWidth="1"/>
    <col min="11" max="11" width="12.83203125" style="1" customWidth="1"/>
    <col min="12" max="12" width="22" style="1" customWidth="1"/>
    <col min="13" max="13" width="20.83203125" style="1" customWidth="1"/>
    <col min="14" max="14" width="5.33203125" style="1" customWidth="1"/>
    <col min="15" max="19" width="11" style="1"/>
    <col min="20" max="25" width="11" style="1" hidden="1" customWidth="1" outlineLevel="1"/>
    <col min="26" max="26" width="11" style="1" collapsed="1"/>
    <col min="27" max="32" width="11" style="1"/>
    <col min="33" max="33" width="2.83203125" style="1" customWidth="1"/>
    <col min="34" max="16384" width="11" style="1"/>
  </cols>
  <sheetData>
    <row r="1" spans="2:12" ht="14.5" thickBot="1"/>
    <row r="2" spans="2:12" ht="14.5" thickBot="1">
      <c r="B2" s="2"/>
      <c r="C2" s="3"/>
      <c r="D2" s="24" t="s">
        <v>34</v>
      </c>
      <c r="E2" s="4" t="s">
        <v>35</v>
      </c>
    </row>
    <row r="3" spans="2:12" ht="14.5" thickBot="1">
      <c r="B3" s="25" t="s">
        <v>33</v>
      </c>
      <c r="C3" s="26"/>
      <c r="D3" s="26" t="s">
        <v>37</v>
      </c>
      <c r="E3" s="27" t="s">
        <v>36</v>
      </c>
    </row>
    <row r="4" spans="2:12">
      <c r="B4" s="5">
        <v>1</v>
      </c>
      <c r="C4" s="6">
        <f>IF(OR(D4="",E4=""),0,1)</f>
        <v>1</v>
      </c>
      <c r="D4" s="22">
        <v>85</v>
      </c>
      <c r="E4" s="23">
        <v>84</v>
      </c>
      <c r="H4" s="1" t="s">
        <v>24</v>
      </c>
      <c r="J4" s="7" t="str">
        <f>K62</f>
        <v>PASS</v>
      </c>
      <c r="K4" s="8" t="str">
        <f t="shared" ref="K4:L4" si="0">L62</f>
        <v/>
      </c>
      <c r="L4" s="9" t="str">
        <f t="shared" si="0"/>
        <v/>
      </c>
    </row>
    <row r="5" spans="2:12">
      <c r="B5" s="5">
        <v>2</v>
      </c>
      <c r="C5" s="6">
        <f t="shared" ref="C5:C23" si="1">IF(OR(D5="",E5=""),0,1)</f>
        <v>1</v>
      </c>
      <c r="D5" s="18">
        <v>85</v>
      </c>
      <c r="E5" s="19">
        <v>85</v>
      </c>
      <c r="H5" s="1" t="s">
        <v>25</v>
      </c>
      <c r="J5" s="7" t="str">
        <f>K72</f>
        <v>PASS</v>
      </c>
      <c r="K5" s="8" t="str">
        <f t="shared" ref="K5:L5" si="2">L72</f>
        <v/>
      </c>
      <c r="L5" s="9" t="str">
        <f t="shared" si="2"/>
        <v/>
      </c>
    </row>
    <row r="6" spans="2:12">
      <c r="B6" s="5">
        <v>3</v>
      </c>
      <c r="C6" s="6">
        <f t="shared" si="1"/>
        <v>1</v>
      </c>
      <c r="D6" s="18">
        <v>85</v>
      </c>
      <c r="E6" s="19">
        <v>85</v>
      </c>
      <c r="H6" s="10" t="s">
        <v>38</v>
      </c>
      <c r="J6" s="7" t="str">
        <f>K26</f>
        <v>PASS</v>
      </c>
      <c r="K6" s="8" t="str">
        <f t="shared" ref="K6" si="3">L26</f>
        <v/>
      </c>
      <c r="L6" s="9" t="str">
        <f>M26</f>
        <v/>
      </c>
    </row>
    <row r="7" spans="2:12">
      <c r="B7" s="5">
        <v>4</v>
      </c>
      <c r="C7" s="6">
        <f t="shared" si="1"/>
        <v>0</v>
      </c>
      <c r="D7" s="18"/>
      <c r="E7" s="19"/>
      <c r="H7" s="10" t="s">
        <v>39</v>
      </c>
      <c r="J7" s="7" t="str">
        <f>K44</f>
        <v>PASS</v>
      </c>
      <c r="K7" s="8" t="str">
        <f t="shared" ref="K7:L7" si="4">L44</f>
        <v/>
      </c>
      <c r="L7" s="9" t="str">
        <f t="shared" si="4"/>
        <v/>
      </c>
    </row>
    <row r="8" spans="2:12">
      <c r="B8" s="5">
        <v>5</v>
      </c>
      <c r="C8" s="6">
        <f t="shared" si="1"/>
        <v>0</v>
      </c>
      <c r="D8" s="18"/>
      <c r="E8" s="19"/>
    </row>
    <row r="9" spans="2:12">
      <c r="B9" s="5">
        <v>6</v>
      </c>
      <c r="C9" s="6">
        <f t="shared" si="1"/>
        <v>0</v>
      </c>
      <c r="D9" s="18"/>
      <c r="E9" s="19"/>
    </row>
    <row r="10" spans="2:12">
      <c r="B10" s="5">
        <v>7</v>
      </c>
      <c r="C10" s="6">
        <f t="shared" si="1"/>
        <v>0</v>
      </c>
      <c r="D10" s="18"/>
      <c r="E10" s="19"/>
    </row>
    <row r="11" spans="2:12">
      <c r="B11" s="5">
        <v>8</v>
      </c>
      <c r="C11" s="6">
        <f t="shared" si="1"/>
        <v>0</v>
      </c>
      <c r="D11" s="18"/>
      <c r="E11" s="19"/>
    </row>
    <row r="12" spans="2:12" ht="14.5" thickBot="1">
      <c r="B12" s="5">
        <v>9</v>
      </c>
      <c r="C12" s="6">
        <f t="shared" si="1"/>
        <v>0</v>
      </c>
      <c r="D12" s="18"/>
      <c r="E12" s="19"/>
    </row>
    <row r="13" spans="2:12" ht="14.5" thickBot="1">
      <c r="B13" s="5">
        <v>10</v>
      </c>
      <c r="C13" s="6">
        <f t="shared" si="1"/>
        <v>0</v>
      </c>
      <c r="D13" s="28"/>
      <c r="E13" s="29"/>
      <c r="G13" s="56" t="s">
        <v>43</v>
      </c>
      <c r="H13" s="57"/>
      <c r="I13" s="58"/>
    </row>
    <row r="14" spans="2:12" ht="14.5" thickBot="1">
      <c r="B14" s="2">
        <v>11</v>
      </c>
      <c r="C14" s="3">
        <f t="shared" si="1"/>
        <v>0</v>
      </c>
      <c r="D14" s="16"/>
      <c r="E14" s="17"/>
      <c r="G14" s="59"/>
      <c r="H14" s="60"/>
      <c r="I14" s="61"/>
    </row>
    <row r="15" spans="2:12">
      <c r="B15" s="5">
        <v>12</v>
      </c>
      <c r="C15" s="6">
        <f t="shared" si="1"/>
        <v>0</v>
      </c>
      <c r="D15" s="18"/>
      <c r="E15" s="19"/>
    </row>
    <row r="16" spans="2:12">
      <c r="B16" s="5">
        <v>13</v>
      </c>
      <c r="C16" s="6">
        <f t="shared" si="1"/>
        <v>0</v>
      </c>
      <c r="D16" s="18"/>
      <c r="E16" s="19"/>
    </row>
    <row r="17" spans="1:33">
      <c r="B17" s="5">
        <v>14</v>
      </c>
      <c r="C17" s="6">
        <f t="shared" si="1"/>
        <v>0</v>
      </c>
      <c r="D17" s="18"/>
      <c r="E17" s="19"/>
    </row>
    <row r="18" spans="1:33">
      <c r="B18" s="5">
        <v>15</v>
      </c>
      <c r="C18" s="6">
        <f t="shared" si="1"/>
        <v>0</v>
      </c>
      <c r="D18" s="18"/>
      <c r="E18" s="19"/>
    </row>
    <row r="19" spans="1:33" ht="14.5" thickBot="1">
      <c r="B19" s="15">
        <v>16</v>
      </c>
      <c r="C19" s="13">
        <f t="shared" si="1"/>
        <v>0</v>
      </c>
      <c r="D19" s="30"/>
      <c r="E19" s="31"/>
    </row>
    <row r="20" spans="1:33">
      <c r="B20" s="11">
        <v>17</v>
      </c>
      <c r="C20" s="4">
        <f t="shared" si="1"/>
        <v>0</v>
      </c>
      <c r="D20" s="32"/>
      <c r="E20" s="33"/>
    </row>
    <row r="21" spans="1:33">
      <c r="B21" s="12">
        <v>18</v>
      </c>
      <c r="C21" s="14">
        <f t="shared" si="1"/>
        <v>0</v>
      </c>
      <c r="D21" s="20"/>
      <c r="E21" s="21"/>
    </row>
    <row r="22" spans="1:33">
      <c r="B22" s="12">
        <v>19</v>
      </c>
      <c r="C22" s="14">
        <f t="shared" si="1"/>
        <v>0</v>
      </c>
      <c r="D22" s="20"/>
      <c r="E22" s="21"/>
    </row>
    <row r="23" spans="1:33" ht="14.5" thickBot="1">
      <c r="B23" s="12">
        <v>20</v>
      </c>
      <c r="C23" s="14">
        <f t="shared" si="1"/>
        <v>0</v>
      </c>
      <c r="D23" s="53"/>
      <c r="E23" s="54"/>
    </row>
    <row r="24" spans="1:33">
      <c r="A24" s="44" t="s">
        <v>29</v>
      </c>
      <c r="B24" s="45" t="s">
        <v>31</v>
      </c>
      <c r="C24" s="45"/>
      <c r="D24" s="45" t="s">
        <v>16</v>
      </c>
      <c r="E24" s="45" t="s">
        <v>17</v>
      </c>
      <c r="F24" s="45" t="s">
        <v>4</v>
      </c>
      <c r="G24" s="45" t="s">
        <v>5</v>
      </c>
      <c r="H24" s="45" t="s">
        <v>6</v>
      </c>
      <c r="I24" s="45" t="s">
        <v>7</v>
      </c>
      <c r="J24" s="45" t="s">
        <v>8</v>
      </c>
      <c r="K24" s="45" t="s">
        <v>9</v>
      </c>
      <c r="L24" s="45" t="s">
        <v>10</v>
      </c>
      <c r="M24" s="45" t="s">
        <v>11</v>
      </c>
      <c r="N24" s="45"/>
      <c r="O24" s="45"/>
      <c r="P24" s="45"/>
      <c r="Q24" s="45"/>
      <c r="R24" s="45"/>
      <c r="S24" s="45"/>
      <c r="T24" s="45"/>
      <c r="U24" s="45" t="s">
        <v>5</v>
      </c>
      <c r="V24" s="55" t="s">
        <v>7</v>
      </c>
      <c r="W24" s="55" t="s">
        <v>9</v>
      </c>
      <c r="X24" s="55" t="s">
        <v>10</v>
      </c>
      <c r="Y24" s="55" t="s">
        <v>18</v>
      </c>
      <c r="Z24" s="55"/>
      <c r="AA24" s="45"/>
      <c r="AB24" s="45"/>
      <c r="AC24" s="45"/>
      <c r="AD24" s="45"/>
      <c r="AE24" s="45"/>
      <c r="AF24" s="45"/>
      <c r="AG24" s="46"/>
    </row>
    <row r="25" spans="1:33">
      <c r="A25" s="47"/>
      <c r="B25" s="38">
        <v>1</v>
      </c>
      <c r="C25" s="38">
        <f>IF(OR(D25="",E25=""),0,1)</f>
        <v>1</v>
      </c>
      <c r="D25" s="38">
        <f>IF(D4="","",D4)</f>
        <v>85</v>
      </c>
      <c r="E25" s="38">
        <f>IF(E4="","",E4)</f>
        <v>84</v>
      </c>
      <c r="F25" s="38">
        <f>IF(C25=1,E25/D25,0)</f>
        <v>0.9882352941176471</v>
      </c>
      <c r="G25" s="38">
        <f>SUM(F25:F40)/SUM(C25:C40)</f>
        <v>0.99607843137254903</v>
      </c>
      <c r="H25" s="38">
        <f>IF(C25=1,(F25-$G$25)^2,0)</f>
        <v>6.1514801999230624E-5</v>
      </c>
      <c r="I25" s="38">
        <f>SQRT(SUM(H25:H40)/(SUM(C25:C40)-1))</f>
        <v>6.79235610811322E-3</v>
      </c>
      <c r="J25" s="51">
        <v>1.05</v>
      </c>
      <c r="K25" s="38">
        <f>J25-((J27+J29)*I25)</f>
        <v>1.0355730356263675</v>
      </c>
      <c r="L25" s="38">
        <f>J25+(J31-J33)*I25</f>
        <v>1.0584768604229253</v>
      </c>
      <c r="M25" s="38"/>
      <c r="N25" s="38"/>
      <c r="O25" s="38"/>
      <c r="P25" s="38"/>
      <c r="Q25" s="38"/>
      <c r="R25" s="38"/>
      <c r="S25" s="38"/>
      <c r="T25" s="38"/>
      <c r="U25" s="38">
        <f>IF(C25=1,SUM($F$25:F25)/SUM($C$25:C25),#N/A)</f>
        <v>0.9882352941176471</v>
      </c>
      <c r="V25" s="38"/>
      <c r="W25" s="38"/>
      <c r="X25" s="38"/>
      <c r="Y25" s="38">
        <f>IF(C25=1,(E25/D25),#N/A)</f>
        <v>0.9882352941176471</v>
      </c>
      <c r="Z25" s="38"/>
      <c r="AA25" s="38"/>
      <c r="AB25" s="38"/>
      <c r="AC25" s="38"/>
      <c r="AD25" s="38"/>
      <c r="AE25" s="38"/>
      <c r="AF25" s="38"/>
      <c r="AG25" s="48"/>
    </row>
    <row r="26" spans="1:33">
      <c r="A26" s="47"/>
      <c r="B26" s="38">
        <v>2</v>
      </c>
      <c r="C26" s="38">
        <f t="shared" ref="C26:C40" si="5">IF(OR(D26="",E26=""),0,1)</f>
        <v>1</v>
      </c>
      <c r="D26" s="38">
        <f t="shared" ref="D26:E40" si="6">IF(D5="","",D5)</f>
        <v>85</v>
      </c>
      <c r="E26" s="38">
        <f t="shared" si="6"/>
        <v>85</v>
      </c>
      <c r="F26" s="38">
        <f t="shared" ref="F26:F40" si="7">IF(C26=1,E26/D26,0)</f>
        <v>1</v>
      </c>
      <c r="G26" s="38"/>
      <c r="H26" s="38">
        <f t="shared" ref="H26:H40" si="8">IF(C26=1,(F26-$G$25)^2,0)</f>
        <v>1.5378700499807656E-5</v>
      </c>
      <c r="I26" s="38"/>
      <c r="J26" s="38" t="s">
        <v>12</v>
      </c>
      <c r="K26" s="40" t="str">
        <f>IF(G25&lt;=K25,"PASS","")</f>
        <v>PASS</v>
      </c>
      <c r="L26" s="41" t="str">
        <f>IF(G25&gt;L25,"FAIL","")</f>
        <v/>
      </c>
      <c r="M26" s="42" t="str">
        <f>IF(AND(K25&lt;G25,G25&lt;=L25),"ONE MORE VEHICLE","")</f>
        <v/>
      </c>
      <c r="N26" s="38"/>
      <c r="O26" s="38" t="s">
        <v>0</v>
      </c>
      <c r="P26" s="38" t="s">
        <v>1</v>
      </c>
      <c r="Q26" s="38" t="s">
        <v>2</v>
      </c>
      <c r="R26" s="38" t="s">
        <v>3</v>
      </c>
      <c r="S26" s="38"/>
      <c r="T26" s="38"/>
      <c r="U26" s="38">
        <f>IF(C26=1,SUM($F$25:F26)/SUM($C$25:C26),#N/A)</f>
        <v>0.99411764705882355</v>
      </c>
      <c r="V26" s="38">
        <f>IF(C26=1,STDEVA($F$25:F26),#N/A)</f>
        <v>8.3189033080770004E-3</v>
      </c>
      <c r="W26" s="38"/>
      <c r="X26" s="38"/>
      <c r="Y26" s="38">
        <f t="shared" ref="Y26:Y40" si="9">IF(C26=1,(E26/D26),#N/A)</f>
        <v>1</v>
      </c>
      <c r="Z26" s="38"/>
      <c r="AA26" s="38"/>
      <c r="AB26" s="38"/>
      <c r="AC26" s="38"/>
      <c r="AD26" s="38"/>
      <c r="AE26" s="38"/>
      <c r="AF26" s="38"/>
      <c r="AG26" s="48"/>
    </row>
    <row r="27" spans="1:33">
      <c r="A27" s="47"/>
      <c r="B27" s="38">
        <v>3</v>
      </c>
      <c r="C27" s="38">
        <f t="shared" si="5"/>
        <v>1</v>
      </c>
      <c r="D27" s="38">
        <f t="shared" si="6"/>
        <v>85</v>
      </c>
      <c r="E27" s="38">
        <f t="shared" si="6"/>
        <v>85</v>
      </c>
      <c r="F27" s="38">
        <f t="shared" si="7"/>
        <v>1</v>
      </c>
      <c r="G27" s="43">
        <f>SUM(F25:F40)</f>
        <v>2.9882352941176471</v>
      </c>
      <c r="H27" s="38">
        <f t="shared" si="8"/>
        <v>1.5378700499807656E-5</v>
      </c>
      <c r="I27" s="38"/>
      <c r="J27" s="38">
        <f>VLOOKUP($G$28,$N$27:$R$40,2,0)</f>
        <v>1.6859999999999999</v>
      </c>
      <c r="K27" s="38"/>
      <c r="L27" s="38"/>
      <c r="M27" s="38"/>
      <c r="N27" s="38">
        <v>3</v>
      </c>
      <c r="O27" s="38">
        <v>1.6859999999999999</v>
      </c>
      <c r="P27" s="38">
        <v>0.438</v>
      </c>
      <c r="Q27" s="38">
        <v>1.6859999999999999</v>
      </c>
      <c r="R27" s="38">
        <v>0.438</v>
      </c>
      <c r="S27" s="38"/>
      <c r="T27" s="38"/>
      <c r="U27" s="38">
        <f>IF(C27=1,SUM($F$25:F27)/SUM($C$25:C27),#N/A)</f>
        <v>0.99607843137254903</v>
      </c>
      <c r="V27" s="38">
        <f>IF(C27=1,STDEVA($F$25:F27),#N/A)</f>
        <v>6.79235610811322E-3</v>
      </c>
      <c r="W27" s="38">
        <f t="shared" ref="W27:W40" si="10">$J$25-(($O27+$P27)*$V27)</f>
        <v>1.0355730356263675</v>
      </c>
      <c r="X27" s="38">
        <f t="shared" ref="X27:X40" si="11">$J$25+($Q27-$R27)*$V27</f>
        <v>1.0584768604229253</v>
      </c>
      <c r="Y27" s="38">
        <f t="shared" si="9"/>
        <v>1</v>
      </c>
      <c r="Z27" s="38"/>
      <c r="AA27" s="38"/>
      <c r="AB27" s="38"/>
      <c r="AC27" s="38"/>
      <c r="AD27" s="38"/>
      <c r="AE27" s="38"/>
      <c r="AF27" s="38"/>
      <c r="AG27" s="48"/>
    </row>
    <row r="28" spans="1:33">
      <c r="A28" s="47"/>
      <c r="B28" s="38">
        <v>4</v>
      </c>
      <c r="C28" s="38">
        <f t="shared" si="5"/>
        <v>0</v>
      </c>
      <c r="D28" s="38" t="str">
        <f t="shared" si="6"/>
        <v/>
      </c>
      <c r="E28" s="38" t="str">
        <f t="shared" si="6"/>
        <v/>
      </c>
      <c r="F28" s="38">
        <f t="shared" si="7"/>
        <v>0</v>
      </c>
      <c r="G28" s="43">
        <f>SUM(C25:C40)</f>
        <v>3</v>
      </c>
      <c r="H28" s="38">
        <f t="shared" si="8"/>
        <v>0</v>
      </c>
      <c r="I28" s="38"/>
      <c r="J28" s="38" t="s">
        <v>13</v>
      </c>
      <c r="K28" s="38"/>
      <c r="L28" s="38"/>
      <c r="M28" s="38"/>
      <c r="N28" s="38">
        <v>4</v>
      </c>
      <c r="O28" s="38">
        <v>0.89900000000000002</v>
      </c>
      <c r="P28" s="38">
        <v>0.36</v>
      </c>
      <c r="Q28" s="38">
        <v>1.177</v>
      </c>
      <c r="R28" s="38">
        <v>0.438</v>
      </c>
      <c r="S28" s="38"/>
      <c r="T28" s="38"/>
      <c r="U28" s="38" t="e">
        <f>IF(C28=1,SUM($F$25:F28)/SUM($C$25:C28),#N/A)</f>
        <v>#N/A</v>
      </c>
      <c r="V28" s="38" t="e">
        <f>IF(C28=1,STDEVA($F$25:F28),#N/A)</f>
        <v>#N/A</v>
      </c>
      <c r="W28" s="38" t="e">
        <f t="shared" si="10"/>
        <v>#N/A</v>
      </c>
      <c r="X28" s="38" t="e">
        <f t="shared" si="11"/>
        <v>#N/A</v>
      </c>
      <c r="Y28" s="38" t="e">
        <f t="shared" si="9"/>
        <v>#N/A</v>
      </c>
      <c r="Z28" s="38"/>
      <c r="AA28" s="38"/>
      <c r="AB28" s="38"/>
      <c r="AC28" s="38"/>
      <c r="AD28" s="38"/>
      <c r="AE28" s="38"/>
      <c r="AF28" s="38"/>
      <c r="AG28" s="48"/>
    </row>
    <row r="29" spans="1:33">
      <c r="A29" s="47"/>
      <c r="B29" s="38">
        <v>5</v>
      </c>
      <c r="C29" s="38">
        <f t="shared" si="5"/>
        <v>0</v>
      </c>
      <c r="D29" s="38" t="str">
        <f t="shared" si="6"/>
        <v/>
      </c>
      <c r="E29" s="38" t="str">
        <f t="shared" si="6"/>
        <v/>
      </c>
      <c r="F29" s="38">
        <f t="shared" si="7"/>
        <v>0</v>
      </c>
      <c r="G29" s="38"/>
      <c r="H29" s="38">
        <f t="shared" si="8"/>
        <v>0</v>
      </c>
      <c r="I29" s="38"/>
      <c r="J29" s="38">
        <f>VLOOKUP($G$28,$N$27:$R$40,3,0)</f>
        <v>0.438</v>
      </c>
      <c r="K29" s="38"/>
      <c r="L29" s="38"/>
      <c r="M29" s="38"/>
      <c r="N29" s="38">
        <v>5</v>
      </c>
      <c r="O29" s="38">
        <v>0.62</v>
      </c>
      <c r="P29" s="38">
        <v>0.307</v>
      </c>
      <c r="Q29" s="38">
        <v>0.95299999999999996</v>
      </c>
      <c r="R29" s="38">
        <v>0.438</v>
      </c>
      <c r="S29" s="38"/>
      <c r="T29" s="38"/>
      <c r="U29" s="38" t="e">
        <f>IF(C29=1,SUM($F$25:F29)/SUM($C$25:C29),#N/A)</f>
        <v>#N/A</v>
      </c>
      <c r="V29" s="38" t="e">
        <f>IF(C29=1,STDEVA($F$25:F29),#N/A)</f>
        <v>#N/A</v>
      </c>
      <c r="W29" s="38" t="e">
        <f t="shared" si="10"/>
        <v>#N/A</v>
      </c>
      <c r="X29" s="38" t="e">
        <f t="shared" si="11"/>
        <v>#N/A</v>
      </c>
      <c r="Y29" s="38" t="e">
        <f t="shared" si="9"/>
        <v>#N/A</v>
      </c>
      <c r="Z29" s="38"/>
      <c r="AA29" s="38"/>
      <c r="AB29" s="38"/>
      <c r="AC29" s="38"/>
      <c r="AD29" s="38"/>
      <c r="AE29" s="38"/>
      <c r="AF29" s="38"/>
      <c r="AG29" s="48"/>
    </row>
    <row r="30" spans="1:33">
      <c r="A30" s="47"/>
      <c r="B30" s="38">
        <v>6</v>
      </c>
      <c r="C30" s="38">
        <f t="shared" si="5"/>
        <v>0</v>
      </c>
      <c r="D30" s="38" t="str">
        <f t="shared" si="6"/>
        <v/>
      </c>
      <c r="E30" s="38" t="str">
        <f t="shared" si="6"/>
        <v/>
      </c>
      <c r="F30" s="38">
        <f t="shared" si="7"/>
        <v>0</v>
      </c>
      <c r="G30" s="38"/>
      <c r="H30" s="38">
        <f t="shared" si="8"/>
        <v>0</v>
      </c>
      <c r="I30" s="38"/>
      <c r="J30" s="38" t="s">
        <v>14</v>
      </c>
      <c r="K30" s="38"/>
      <c r="L30" s="38"/>
      <c r="M30" s="38"/>
      <c r="N30" s="38">
        <v>6</v>
      </c>
      <c r="O30" s="38">
        <v>0.46300000000000002</v>
      </c>
      <c r="P30" s="38">
        <v>0.26400000000000001</v>
      </c>
      <c r="Q30" s="38">
        <v>0.82299999999999995</v>
      </c>
      <c r="R30" s="38">
        <v>0.438</v>
      </c>
      <c r="S30" s="38"/>
      <c r="T30" s="38"/>
      <c r="U30" s="38" t="e">
        <f>IF(C30=1,SUM($F$25:F30)/SUM($C$25:C30),#N/A)</f>
        <v>#N/A</v>
      </c>
      <c r="V30" s="38" t="e">
        <f>IF(C30=1,STDEVA($F$25:F30),#N/A)</f>
        <v>#N/A</v>
      </c>
      <c r="W30" s="38" t="e">
        <f t="shared" si="10"/>
        <v>#N/A</v>
      </c>
      <c r="X30" s="38" t="e">
        <f t="shared" si="11"/>
        <v>#N/A</v>
      </c>
      <c r="Y30" s="38" t="e">
        <f t="shared" si="9"/>
        <v>#N/A</v>
      </c>
      <c r="Z30" s="38"/>
      <c r="AA30" s="38"/>
      <c r="AB30" s="38"/>
      <c r="AC30" s="38"/>
      <c r="AD30" s="38"/>
      <c r="AE30" s="38"/>
      <c r="AF30" s="38"/>
      <c r="AG30" s="48"/>
    </row>
    <row r="31" spans="1:33">
      <c r="A31" s="47"/>
      <c r="B31" s="38">
        <v>7</v>
      </c>
      <c r="C31" s="38">
        <f t="shared" si="5"/>
        <v>0</v>
      </c>
      <c r="D31" s="38" t="str">
        <f t="shared" si="6"/>
        <v/>
      </c>
      <c r="E31" s="38" t="str">
        <f t="shared" si="6"/>
        <v/>
      </c>
      <c r="F31" s="38">
        <f t="shared" si="7"/>
        <v>0</v>
      </c>
      <c r="G31" s="38"/>
      <c r="H31" s="38">
        <f t="shared" si="8"/>
        <v>0</v>
      </c>
      <c r="I31" s="38"/>
      <c r="J31" s="38">
        <f>VLOOKUP($G$28,$N$27:$R$40,4,0)</f>
        <v>1.6859999999999999</v>
      </c>
      <c r="K31" s="38"/>
      <c r="L31" s="38"/>
      <c r="M31" s="38"/>
      <c r="N31" s="38">
        <v>7</v>
      </c>
      <c r="O31" s="38">
        <v>0.36099999999999999</v>
      </c>
      <c r="P31" s="38">
        <v>0.22800000000000001</v>
      </c>
      <c r="Q31" s="38">
        <v>0.73399999999999999</v>
      </c>
      <c r="R31" s="38">
        <v>0.438</v>
      </c>
      <c r="S31" s="38"/>
      <c r="T31" s="38"/>
      <c r="U31" s="38" t="e">
        <f>IF(C31=1,SUM($F$25:F31)/SUM($C$25:C31),#N/A)</f>
        <v>#N/A</v>
      </c>
      <c r="V31" s="38" t="e">
        <f>IF(C31=1,STDEVA($F$25:F31),#N/A)</f>
        <v>#N/A</v>
      </c>
      <c r="W31" s="38" t="e">
        <f t="shared" si="10"/>
        <v>#N/A</v>
      </c>
      <c r="X31" s="38" t="e">
        <f t="shared" si="11"/>
        <v>#N/A</v>
      </c>
      <c r="Y31" s="38" t="e">
        <f t="shared" si="9"/>
        <v>#N/A</v>
      </c>
      <c r="Z31" s="38"/>
      <c r="AA31" s="38"/>
      <c r="AB31" s="38"/>
      <c r="AC31" s="38"/>
      <c r="AD31" s="38"/>
      <c r="AE31" s="38"/>
      <c r="AF31" s="38"/>
      <c r="AG31" s="48"/>
    </row>
    <row r="32" spans="1:33">
      <c r="A32" s="47"/>
      <c r="B32" s="38">
        <v>8</v>
      </c>
      <c r="C32" s="38">
        <f t="shared" si="5"/>
        <v>0</v>
      </c>
      <c r="D32" s="38" t="str">
        <f t="shared" si="6"/>
        <v/>
      </c>
      <c r="E32" s="38" t="str">
        <f t="shared" si="6"/>
        <v/>
      </c>
      <c r="F32" s="38">
        <f t="shared" si="7"/>
        <v>0</v>
      </c>
      <c r="G32" s="38"/>
      <c r="H32" s="38">
        <f t="shared" si="8"/>
        <v>0</v>
      </c>
      <c r="I32" s="38"/>
      <c r="J32" s="38" t="s">
        <v>15</v>
      </c>
      <c r="K32" s="38"/>
      <c r="L32" s="38"/>
      <c r="M32" s="38"/>
      <c r="N32" s="38">
        <v>8</v>
      </c>
      <c r="O32" s="38">
        <v>0.28499999999999998</v>
      </c>
      <c r="P32" s="38">
        <v>0.19600000000000001</v>
      </c>
      <c r="Q32" s="38">
        <v>0.67</v>
      </c>
      <c r="R32" s="38">
        <v>0.438</v>
      </c>
      <c r="S32" s="38"/>
      <c r="T32" s="38"/>
      <c r="U32" s="38" t="e">
        <f>IF(C32=1,SUM($F$25:F32)/SUM($C$25:C32),#N/A)</f>
        <v>#N/A</v>
      </c>
      <c r="V32" s="38" t="e">
        <f>IF(C32=1,STDEVA($F$25:F32),#N/A)</f>
        <v>#N/A</v>
      </c>
      <c r="W32" s="38" t="e">
        <f t="shared" si="10"/>
        <v>#N/A</v>
      </c>
      <c r="X32" s="38" t="e">
        <f t="shared" si="11"/>
        <v>#N/A</v>
      </c>
      <c r="Y32" s="38" t="e">
        <f t="shared" si="9"/>
        <v>#N/A</v>
      </c>
      <c r="Z32" s="38"/>
      <c r="AA32" s="38"/>
      <c r="AB32" s="38"/>
      <c r="AC32" s="38"/>
      <c r="AD32" s="38"/>
      <c r="AE32" s="38"/>
      <c r="AF32" s="38"/>
      <c r="AG32" s="48"/>
    </row>
    <row r="33" spans="1:34">
      <c r="A33" s="47"/>
      <c r="B33" s="38">
        <v>9</v>
      </c>
      <c r="C33" s="38">
        <f t="shared" si="5"/>
        <v>0</v>
      </c>
      <c r="D33" s="38" t="str">
        <f t="shared" si="6"/>
        <v/>
      </c>
      <c r="E33" s="38" t="str">
        <f t="shared" si="6"/>
        <v/>
      </c>
      <c r="F33" s="38">
        <f t="shared" si="7"/>
        <v>0</v>
      </c>
      <c r="G33" s="38"/>
      <c r="H33" s="38">
        <f t="shared" si="8"/>
        <v>0</v>
      </c>
      <c r="I33" s="38"/>
      <c r="J33" s="38">
        <f>VLOOKUP($G$28,$N$27:$R$40,5,0)</f>
        <v>0.438</v>
      </c>
      <c r="K33" s="38"/>
      <c r="L33" s="38"/>
      <c r="M33" s="38"/>
      <c r="N33" s="38">
        <v>9</v>
      </c>
      <c r="O33" s="38">
        <v>0.22600000000000001</v>
      </c>
      <c r="P33" s="38">
        <v>0.16600000000000001</v>
      </c>
      <c r="Q33" s="38">
        <v>0.62</v>
      </c>
      <c r="R33" s="38">
        <v>0.438</v>
      </c>
      <c r="S33" s="38"/>
      <c r="T33" s="38"/>
      <c r="U33" s="38" t="e">
        <f>IF(C33=1,SUM($F$25:F33)/SUM($C$25:C33),#N/A)</f>
        <v>#N/A</v>
      </c>
      <c r="V33" s="38" t="e">
        <f>IF(C33=1,STDEVA($F$25:F33),#N/A)</f>
        <v>#N/A</v>
      </c>
      <c r="W33" s="38" t="e">
        <f t="shared" si="10"/>
        <v>#N/A</v>
      </c>
      <c r="X33" s="38" t="e">
        <f t="shared" si="11"/>
        <v>#N/A</v>
      </c>
      <c r="Y33" s="38" t="e">
        <f t="shared" si="9"/>
        <v>#N/A</v>
      </c>
      <c r="Z33" s="38"/>
      <c r="AA33" s="38"/>
      <c r="AB33" s="38"/>
      <c r="AC33" s="38"/>
      <c r="AD33" s="38"/>
      <c r="AE33" s="38"/>
      <c r="AF33" s="38"/>
      <c r="AG33" s="48"/>
    </row>
    <row r="34" spans="1:34">
      <c r="A34" s="47"/>
      <c r="B34" s="38">
        <v>10</v>
      </c>
      <c r="C34" s="38">
        <f t="shared" si="5"/>
        <v>0</v>
      </c>
      <c r="D34" s="38" t="str">
        <f t="shared" si="6"/>
        <v/>
      </c>
      <c r="E34" s="38" t="str">
        <f t="shared" si="6"/>
        <v/>
      </c>
      <c r="F34" s="38">
        <f t="shared" si="7"/>
        <v>0</v>
      </c>
      <c r="G34" s="38"/>
      <c r="H34" s="38">
        <f t="shared" si="8"/>
        <v>0</v>
      </c>
      <c r="I34" s="38"/>
      <c r="J34" s="38"/>
      <c r="K34" s="38"/>
      <c r="L34" s="38"/>
      <c r="M34" s="38"/>
      <c r="N34" s="38">
        <v>10</v>
      </c>
      <c r="O34" s="38">
        <v>0.18</v>
      </c>
      <c r="P34" s="38">
        <v>0.14000000000000001</v>
      </c>
      <c r="Q34" s="38">
        <v>0.57999999999999996</v>
      </c>
      <c r="R34" s="38">
        <v>0.438</v>
      </c>
      <c r="S34" s="38"/>
      <c r="T34" s="38"/>
      <c r="U34" s="38" t="e">
        <f>IF(C34=1,SUM($F$25:F34)/SUM($C$25:C34),#N/A)</f>
        <v>#N/A</v>
      </c>
      <c r="V34" s="38" t="e">
        <f>IF(C34=1,STDEVA($F$25:F34),#N/A)</f>
        <v>#N/A</v>
      </c>
      <c r="W34" s="38" t="e">
        <f t="shared" si="10"/>
        <v>#N/A</v>
      </c>
      <c r="X34" s="38" t="e">
        <f t="shared" si="11"/>
        <v>#N/A</v>
      </c>
      <c r="Y34" s="38" t="e">
        <f t="shared" si="9"/>
        <v>#N/A</v>
      </c>
      <c r="Z34" s="38"/>
      <c r="AA34" s="38"/>
      <c r="AB34" s="38"/>
      <c r="AC34" s="38"/>
      <c r="AD34" s="38"/>
      <c r="AE34" s="38"/>
      <c r="AF34" s="38"/>
      <c r="AG34" s="48"/>
      <c r="AH34" s="1" t="s">
        <v>40</v>
      </c>
    </row>
    <row r="35" spans="1:34">
      <c r="A35" s="47"/>
      <c r="B35" s="38">
        <v>11</v>
      </c>
      <c r="C35" s="38">
        <f t="shared" si="5"/>
        <v>0</v>
      </c>
      <c r="D35" s="38" t="str">
        <f t="shared" si="6"/>
        <v/>
      </c>
      <c r="E35" s="38" t="str">
        <f t="shared" si="6"/>
        <v/>
      </c>
      <c r="F35" s="38">
        <f t="shared" si="7"/>
        <v>0</v>
      </c>
      <c r="G35" s="38"/>
      <c r="H35" s="38">
        <f t="shared" si="8"/>
        <v>0</v>
      </c>
      <c r="I35" s="38"/>
      <c r="J35" s="38"/>
      <c r="K35" s="38"/>
      <c r="L35" s="38"/>
      <c r="M35" s="38"/>
      <c r="N35" s="38">
        <v>11</v>
      </c>
      <c r="O35" s="38">
        <v>0.13900000000000001</v>
      </c>
      <c r="P35" s="38">
        <v>0.114</v>
      </c>
      <c r="Q35" s="38">
        <v>0.54600000000000004</v>
      </c>
      <c r="R35" s="38">
        <v>0.438</v>
      </c>
      <c r="S35" s="38"/>
      <c r="T35" s="38"/>
      <c r="U35" s="38" t="e">
        <f>IF(C35=1,SUM($F$25:F35)/SUM($C$25:C35),#N/A)</f>
        <v>#N/A</v>
      </c>
      <c r="V35" s="38" t="e">
        <f>IF(C35=1,STDEVA($F$25:F35),#N/A)</f>
        <v>#N/A</v>
      </c>
      <c r="W35" s="38" t="e">
        <f t="shared" si="10"/>
        <v>#N/A</v>
      </c>
      <c r="X35" s="38" t="e">
        <f t="shared" si="11"/>
        <v>#N/A</v>
      </c>
      <c r="Y35" s="38" t="e">
        <f t="shared" si="9"/>
        <v>#N/A</v>
      </c>
      <c r="Z35" s="38"/>
      <c r="AA35" s="38"/>
      <c r="AB35" s="38"/>
      <c r="AC35" s="38"/>
      <c r="AD35" s="38"/>
      <c r="AE35" s="38"/>
      <c r="AF35" s="38"/>
      <c r="AG35" s="48"/>
      <c r="AH35" s="1" t="s">
        <v>41</v>
      </c>
    </row>
    <row r="36" spans="1:34">
      <c r="A36" s="47"/>
      <c r="B36" s="38">
        <v>12</v>
      </c>
      <c r="C36" s="38">
        <f t="shared" si="5"/>
        <v>0</v>
      </c>
      <c r="D36" s="38" t="str">
        <f t="shared" si="6"/>
        <v/>
      </c>
      <c r="E36" s="38" t="str">
        <f t="shared" si="6"/>
        <v/>
      </c>
      <c r="F36" s="38">
        <f t="shared" si="7"/>
        <v>0</v>
      </c>
      <c r="G36" s="38"/>
      <c r="H36" s="38">
        <f t="shared" si="8"/>
        <v>0</v>
      </c>
      <c r="I36" s="38"/>
      <c r="J36" s="38"/>
      <c r="K36" s="38"/>
      <c r="L36" s="38"/>
      <c r="M36" s="38"/>
      <c r="N36" s="38">
        <v>12</v>
      </c>
      <c r="O36" s="38">
        <v>0.105</v>
      </c>
      <c r="P36" s="38">
        <v>0.09</v>
      </c>
      <c r="Q36" s="38">
        <v>0.51800000000000002</v>
      </c>
      <c r="R36" s="38">
        <v>0.438</v>
      </c>
      <c r="S36" s="38"/>
      <c r="T36" s="38"/>
      <c r="U36" s="38" t="e">
        <f>IF(C36=1,SUM($F$25:F36)/SUM($C$25:C36),#N/A)</f>
        <v>#N/A</v>
      </c>
      <c r="V36" s="38" t="e">
        <f>IF(C36=1,STDEVA($F$25:F36),#N/A)</f>
        <v>#N/A</v>
      </c>
      <c r="W36" s="38" t="e">
        <f t="shared" si="10"/>
        <v>#N/A</v>
      </c>
      <c r="X36" s="38" t="e">
        <f t="shared" si="11"/>
        <v>#N/A</v>
      </c>
      <c r="Y36" s="38" t="e">
        <f t="shared" si="9"/>
        <v>#N/A</v>
      </c>
      <c r="Z36" s="38"/>
      <c r="AA36" s="38"/>
      <c r="AB36" s="38"/>
      <c r="AC36" s="38"/>
      <c r="AD36" s="38"/>
      <c r="AE36" s="38"/>
      <c r="AF36" s="38"/>
      <c r="AG36" s="48"/>
    </row>
    <row r="37" spans="1:34">
      <c r="A37" s="47"/>
      <c r="B37" s="38">
        <v>13</v>
      </c>
      <c r="C37" s="38">
        <f t="shared" si="5"/>
        <v>0</v>
      </c>
      <c r="D37" s="38" t="str">
        <f t="shared" si="6"/>
        <v/>
      </c>
      <c r="E37" s="38" t="str">
        <f t="shared" si="6"/>
        <v/>
      </c>
      <c r="F37" s="38">
        <f t="shared" si="7"/>
        <v>0</v>
      </c>
      <c r="G37" s="38"/>
      <c r="H37" s="38">
        <f t="shared" si="8"/>
        <v>0</v>
      </c>
      <c r="I37" s="38"/>
      <c r="J37" s="38"/>
      <c r="K37" s="38"/>
      <c r="L37" s="38"/>
      <c r="M37" s="38"/>
      <c r="N37" s="38">
        <v>13</v>
      </c>
      <c r="O37" s="38">
        <v>7.4999999999999997E-2</v>
      </c>
      <c r="P37" s="38">
        <v>6.7000000000000004E-2</v>
      </c>
      <c r="Q37" s="38">
        <v>0.49399999999999999</v>
      </c>
      <c r="R37" s="38">
        <v>0.438</v>
      </c>
      <c r="S37" s="38"/>
      <c r="T37" s="38"/>
      <c r="U37" s="38" t="e">
        <f>IF(C37=1,SUM($F$25:F37)/SUM($C$25:C37),#N/A)</f>
        <v>#N/A</v>
      </c>
      <c r="V37" s="38" t="e">
        <f>IF(C37=1,STDEVA($F$25:F37),#N/A)</f>
        <v>#N/A</v>
      </c>
      <c r="W37" s="38" t="e">
        <f t="shared" si="10"/>
        <v>#N/A</v>
      </c>
      <c r="X37" s="38" t="e">
        <f t="shared" si="11"/>
        <v>#N/A</v>
      </c>
      <c r="Y37" s="38" t="e">
        <f t="shared" si="9"/>
        <v>#N/A</v>
      </c>
      <c r="Z37" s="38"/>
      <c r="AA37" s="38"/>
      <c r="AB37" s="38"/>
      <c r="AC37" s="38"/>
      <c r="AD37" s="38"/>
      <c r="AE37" s="38"/>
      <c r="AF37" s="38"/>
      <c r="AG37" s="48"/>
    </row>
    <row r="38" spans="1:34">
      <c r="A38" s="47"/>
      <c r="B38" s="38">
        <v>14</v>
      </c>
      <c r="C38" s="38">
        <f t="shared" si="5"/>
        <v>0</v>
      </c>
      <c r="D38" s="38" t="str">
        <f t="shared" si="6"/>
        <v/>
      </c>
      <c r="E38" s="38" t="str">
        <f t="shared" si="6"/>
        <v/>
      </c>
      <c r="F38" s="38">
        <f t="shared" si="7"/>
        <v>0</v>
      </c>
      <c r="G38" s="38"/>
      <c r="H38" s="38">
        <f t="shared" si="8"/>
        <v>0</v>
      </c>
      <c r="I38" s="38"/>
      <c r="J38" s="38"/>
      <c r="K38" s="38"/>
      <c r="L38" s="38"/>
      <c r="M38" s="38"/>
      <c r="N38" s="38">
        <v>14</v>
      </c>
      <c r="O38" s="38">
        <v>4.7E-2</v>
      </c>
      <c r="P38" s="38">
        <v>4.3999999999999997E-2</v>
      </c>
      <c r="Q38" s="38">
        <v>0.47299999999999998</v>
      </c>
      <c r="R38" s="38">
        <v>0.438</v>
      </c>
      <c r="S38" s="38"/>
      <c r="T38" s="38"/>
      <c r="U38" s="38" t="e">
        <f>IF(C38=1,SUM($F$25:F38)/SUM($C$25:C38),#N/A)</f>
        <v>#N/A</v>
      </c>
      <c r="V38" s="38" t="e">
        <f>IF(C38=1,STDEVA($F$25:F38),#N/A)</f>
        <v>#N/A</v>
      </c>
      <c r="W38" s="38" t="e">
        <f t="shared" si="10"/>
        <v>#N/A</v>
      </c>
      <c r="X38" s="38" t="e">
        <f t="shared" si="11"/>
        <v>#N/A</v>
      </c>
      <c r="Y38" s="38" t="e">
        <f t="shared" si="9"/>
        <v>#N/A</v>
      </c>
      <c r="Z38" s="38"/>
      <c r="AA38" s="38"/>
      <c r="AB38" s="38"/>
      <c r="AC38" s="38"/>
      <c r="AD38" s="38"/>
      <c r="AE38" s="38"/>
      <c r="AF38" s="38"/>
      <c r="AG38" s="48"/>
    </row>
    <row r="39" spans="1:34">
      <c r="A39" s="47"/>
      <c r="B39" s="38">
        <v>15</v>
      </c>
      <c r="C39" s="38">
        <f t="shared" si="5"/>
        <v>0</v>
      </c>
      <c r="D39" s="38" t="str">
        <f t="shared" si="6"/>
        <v/>
      </c>
      <c r="E39" s="38" t="str">
        <f t="shared" si="6"/>
        <v/>
      </c>
      <c r="F39" s="38">
        <f t="shared" si="7"/>
        <v>0</v>
      </c>
      <c r="G39" s="38"/>
      <c r="H39" s="38">
        <f t="shared" si="8"/>
        <v>0</v>
      </c>
      <c r="I39" s="38"/>
      <c r="J39" s="38"/>
      <c r="K39" s="38"/>
      <c r="L39" s="38"/>
      <c r="M39" s="38"/>
      <c r="N39" s="38">
        <v>15</v>
      </c>
      <c r="O39" s="38">
        <v>2.3E-2</v>
      </c>
      <c r="P39" s="38">
        <v>2.1999999999999999E-2</v>
      </c>
      <c r="Q39" s="38">
        <v>0.45500000000000002</v>
      </c>
      <c r="R39" s="38">
        <v>0.438</v>
      </c>
      <c r="S39" s="38"/>
      <c r="T39" s="38"/>
      <c r="U39" s="38" t="e">
        <f>IF(C39=1,SUM($F$25:F39)/SUM($C$25:C39),#N/A)</f>
        <v>#N/A</v>
      </c>
      <c r="V39" s="38" t="e">
        <f>IF(C39=1,STDEVA($F$25:F39),#N/A)</f>
        <v>#N/A</v>
      </c>
      <c r="W39" s="38" t="e">
        <f t="shared" si="10"/>
        <v>#N/A</v>
      </c>
      <c r="X39" s="38" t="e">
        <f t="shared" si="11"/>
        <v>#N/A</v>
      </c>
      <c r="Y39" s="38" t="e">
        <f t="shared" si="9"/>
        <v>#N/A</v>
      </c>
      <c r="Z39" s="38"/>
      <c r="AA39" s="38"/>
      <c r="AB39" s="38"/>
      <c r="AC39" s="38"/>
      <c r="AD39" s="38"/>
      <c r="AE39" s="38"/>
      <c r="AF39" s="38"/>
      <c r="AG39" s="48"/>
    </row>
    <row r="40" spans="1:34" ht="14.5" thickBot="1">
      <c r="A40" s="49"/>
      <c r="B40" s="50">
        <v>16</v>
      </c>
      <c r="C40" s="50">
        <f t="shared" si="5"/>
        <v>0</v>
      </c>
      <c r="D40" s="50" t="str">
        <f t="shared" si="6"/>
        <v/>
      </c>
      <c r="E40" s="50" t="str">
        <f t="shared" si="6"/>
        <v/>
      </c>
      <c r="F40" s="50">
        <f t="shared" si="7"/>
        <v>0</v>
      </c>
      <c r="G40" s="50"/>
      <c r="H40" s="50">
        <f t="shared" si="8"/>
        <v>0</v>
      </c>
      <c r="I40" s="50"/>
      <c r="J40" s="50"/>
      <c r="K40" s="50"/>
      <c r="L40" s="50"/>
      <c r="M40" s="50"/>
      <c r="N40" s="50">
        <v>16</v>
      </c>
      <c r="O40" s="50">
        <v>0</v>
      </c>
      <c r="P40" s="50">
        <v>0</v>
      </c>
      <c r="Q40" s="50">
        <v>0.438</v>
      </c>
      <c r="R40" s="50">
        <v>0.438</v>
      </c>
      <c r="S40" s="50"/>
      <c r="T40" s="50"/>
      <c r="U40" s="50" t="e">
        <f>IF(C40=1,SUM($F$25:F40)/SUM($C$25:C40),#N/A)</f>
        <v>#N/A</v>
      </c>
      <c r="V40" s="50" t="e">
        <f>IF(C40=1,STDEVA($F$25:F40),#N/A)</f>
        <v>#N/A</v>
      </c>
      <c r="W40" s="50" t="e">
        <f t="shared" si="10"/>
        <v>#N/A</v>
      </c>
      <c r="X40" s="50" t="e">
        <f t="shared" si="11"/>
        <v>#N/A</v>
      </c>
      <c r="Y40" s="50" t="e">
        <f t="shared" si="9"/>
        <v>#N/A</v>
      </c>
      <c r="Z40" s="50"/>
      <c r="AA40" s="50"/>
      <c r="AB40" s="50"/>
      <c r="AC40" s="50"/>
      <c r="AD40" s="50"/>
      <c r="AE40" s="50"/>
      <c r="AF40" s="50"/>
      <c r="AG40" s="52"/>
    </row>
    <row r="41" spans="1:34" ht="22.5" customHeight="1" thickBot="1"/>
    <row r="42" spans="1:34">
      <c r="A42" s="44" t="s">
        <v>30</v>
      </c>
      <c r="B42" s="45"/>
      <c r="C42" s="45"/>
      <c r="D42" s="45" t="s">
        <v>16</v>
      </c>
      <c r="E42" s="45" t="s">
        <v>17</v>
      </c>
      <c r="F42" s="45" t="s">
        <v>4</v>
      </c>
      <c r="G42" s="45" t="s">
        <v>5</v>
      </c>
      <c r="H42" s="45" t="s">
        <v>6</v>
      </c>
      <c r="I42" s="45" t="s">
        <v>7</v>
      </c>
      <c r="J42" s="45" t="s">
        <v>26</v>
      </c>
      <c r="K42" s="45" t="s">
        <v>9</v>
      </c>
      <c r="L42" s="45" t="s">
        <v>10</v>
      </c>
      <c r="M42" s="45" t="s">
        <v>11</v>
      </c>
      <c r="N42" s="45"/>
      <c r="O42" s="45" t="s">
        <v>0</v>
      </c>
      <c r="P42" s="45" t="s">
        <v>1</v>
      </c>
      <c r="Q42" s="45" t="s">
        <v>2</v>
      </c>
      <c r="R42" s="45" t="s">
        <v>3</v>
      </c>
      <c r="S42" s="45"/>
      <c r="T42" s="45"/>
      <c r="U42" s="45" t="s">
        <v>5</v>
      </c>
      <c r="V42" s="45" t="s">
        <v>7</v>
      </c>
      <c r="W42" s="45" t="s">
        <v>9</v>
      </c>
      <c r="X42" s="45" t="s">
        <v>10</v>
      </c>
      <c r="Y42" s="45" t="s">
        <v>18</v>
      </c>
      <c r="Z42" s="45"/>
      <c r="AA42" s="45"/>
      <c r="AB42" s="45"/>
      <c r="AC42" s="45"/>
      <c r="AD42" s="45"/>
      <c r="AE42" s="45"/>
      <c r="AF42" s="45"/>
      <c r="AG42" s="46"/>
    </row>
    <row r="43" spans="1:34">
      <c r="A43" s="47"/>
      <c r="B43" s="38">
        <v>1</v>
      </c>
      <c r="C43" s="38">
        <f t="shared" ref="C43:C58" si="12">IF(OR(D43="",E43=""),0,1)</f>
        <v>1</v>
      </c>
      <c r="D43" s="38">
        <f>IF(D4="","",D4)</f>
        <v>85</v>
      </c>
      <c r="E43" s="38">
        <f>IF(E4="","",E4)</f>
        <v>84</v>
      </c>
      <c r="F43" s="38">
        <f>IF(C43=1,E43-D43,0)</f>
        <v>-1</v>
      </c>
      <c r="G43" s="38">
        <f>SUM(F43:F58)/SUM(C43:C58)</f>
        <v>-0.33333333333333331</v>
      </c>
      <c r="H43" s="38">
        <f>IF(C43=1,(F43-$G$43)^2,0)</f>
        <v>0.44444444444444453</v>
      </c>
      <c r="I43" s="38">
        <f>SQRT(SUM(H43:H58)/(SUM(C43:C58)-1))</f>
        <v>0.57735026918962584</v>
      </c>
      <c r="J43" s="51">
        <v>5</v>
      </c>
      <c r="K43" s="38">
        <f>J43-((J45+J47)*I43)</f>
        <v>3.7737080282412347</v>
      </c>
      <c r="L43" s="38">
        <f>J43+(J49-J51)*I43</f>
        <v>5.7205331359486529</v>
      </c>
      <c r="M43" s="38"/>
      <c r="N43" s="38">
        <v>3</v>
      </c>
      <c r="O43" s="38">
        <v>1.6859999999999999</v>
      </c>
      <c r="P43" s="38">
        <v>0.438</v>
      </c>
      <c r="Q43" s="38">
        <v>1.6859999999999999</v>
      </c>
      <c r="R43" s="38">
        <v>0.438</v>
      </c>
      <c r="S43" s="38"/>
      <c r="T43" s="38"/>
      <c r="U43" s="38">
        <f>IF(C43=1,SUM($F$43:F43)/SUM($C$43:C43),#N/A)</f>
        <v>-1</v>
      </c>
      <c r="V43" s="38"/>
      <c r="W43" s="38"/>
      <c r="X43" s="38"/>
      <c r="Y43" s="38">
        <f>IF(C43=1,(E43-D43),#N/A)</f>
        <v>-1</v>
      </c>
      <c r="Z43" s="38"/>
      <c r="AA43" s="38"/>
      <c r="AB43" s="38"/>
      <c r="AC43" s="38"/>
      <c r="AD43" s="38"/>
      <c r="AE43" s="38"/>
      <c r="AF43" s="38"/>
      <c r="AG43" s="48"/>
    </row>
    <row r="44" spans="1:34">
      <c r="A44" s="47"/>
      <c r="B44" s="38">
        <v>2</v>
      </c>
      <c r="C44" s="38">
        <f t="shared" si="12"/>
        <v>1</v>
      </c>
      <c r="D44" s="38">
        <f t="shared" ref="D44:E58" si="13">IF(D5="","",D5)</f>
        <v>85</v>
      </c>
      <c r="E44" s="38">
        <f t="shared" si="13"/>
        <v>85</v>
      </c>
      <c r="F44" s="38">
        <f t="shared" ref="F44:F58" si="14">IF(C44=1,E44-D44,0)</f>
        <v>0</v>
      </c>
      <c r="G44" s="38"/>
      <c r="H44" s="38">
        <f>IF(C44=1,(F44-$G$43)^2,0)</f>
        <v>0.1111111111111111</v>
      </c>
      <c r="I44" s="38"/>
      <c r="J44" s="38" t="s">
        <v>12</v>
      </c>
      <c r="K44" s="40" t="str">
        <f>IF(G43&lt;=K43,"PASS","")</f>
        <v>PASS</v>
      </c>
      <c r="L44" s="41" t="str">
        <f>IF(G43&gt;L43,"FAIL","")</f>
        <v/>
      </c>
      <c r="M44" s="42" t="str">
        <f>IF(AND(K43&lt;G43,G43&lt;=L43),"ONE MORE VEHICLE","")</f>
        <v/>
      </c>
      <c r="N44" s="38">
        <v>4</v>
      </c>
      <c r="O44" s="38">
        <v>0.89900000000000002</v>
      </c>
      <c r="P44" s="38">
        <v>0.36</v>
      </c>
      <c r="Q44" s="38">
        <v>1.177</v>
      </c>
      <c r="R44" s="38">
        <v>0.438</v>
      </c>
      <c r="S44" s="38"/>
      <c r="T44" s="38"/>
      <c r="U44" s="38">
        <f>IF(C44=1,SUM($F$43:F44)/SUM($C$43:C44),#N/A)</f>
        <v>-0.5</v>
      </c>
      <c r="V44" s="38">
        <f>IF(C44=1,STDEVA($F$43:F44),#N/A)</f>
        <v>0.70710678118654757</v>
      </c>
      <c r="W44" s="38"/>
      <c r="X44" s="38"/>
      <c r="Y44" s="38">
        <f t="shared" ref="Y44:Y58" si="15">IF(C44=1,(E44-D44),#N/A)</f>
        <v>0</v>
      </c>
      <c r="Z44" s="38"/>
      <c r="AA44" s="38"/>
      <c r="AB44" s="38"/>
      <c r="AC44" s="38"/>
      <c r="AD44" s="38"/>
      <c r="AE44" s="38"/>
      <c r="AF44" s="38"/>
      <c r="AG44" s="48"/>
    </row>
    <row r="45" spans="1:34">
      <c r="A45" s="47"/>
      <c r="B45" s="38">
        <v>3</v>
      </c>
      <c r="C45" s="38">
        <f t="shared" si="12"/>
        <v>1</v>
      </c>
      <c r="D45" s="38">
        <f t="shared" si="13"/>
        <v>85</v>
      </c>
      <c r="E45" s="38">
        <f t="shared" si="13"/>
        <v>85</v>
      </c>
      <c r="F45" s="38">
        <f t="shared" si="14"/>
        <v>0</v>
      </c>
      <c r="G45" s="43">
        <f>SUM(F43:F58)</f>
        <v>-1</v>
      </c>
      <c r="H45" s="38">
        <f>IF(C45=1,(F45-$G$43)^2,0)</f>
        <v>0.1111111111111111</v>
      </c>
      <c r="I45" s="38"/>
      <c r="J45" s="38">
        <f>VLOOKUP($G$46,$N$43:$R$56,2,0)</f>
        <v>1.6859999999999999</v>
      </c>
      <c r="K45" s="38"/>
      <c r="L45" s="38"/>
      <c r="M45" s="38"/>
      <c r="N45" s="38">
        <v>5</v>
      </c>
      <c r="O45" s="38">
        <v>0.62</v>
      </c>
      <c r="P45" s="38">
        <v>0.307</v>
      </c>
      <c r="Q45" s="38">
        <v>0.95299999999999996</v>
      </c>
      <c r="R45" s="38">
        <v>0.438</v>
      </c>
      <c r="S45" s="38"/>
      <c r="T45" s="38"/>
      <c r="U45" s="38">
        <f>IF(C45=1,SUM($F$43:F45)/SUM($C$43:C45),#N/A)</f>
        <v>-0.33333333333333331</v>
      </c>
      <c r="V45" s="38">
        <f>IF(C45=1,STDEVA($F$43:F45),#N/A)</f>
        <v>0.57735026918962584</v>
      </c>
      <c r="W45" s="38">
        <f t="shared" ref="W45:W58" si="16">$J$43-(($O43+$P43)*$V45)</f>
        <v>3.7737080282412347</v>
      </c>
      <c r="X45" s="38">
        <f t="shared" ref="X45:X58" si="17">$J$43+($Q27-$R27)*$V45</f>
        <v>5.7205331359486529</v>
      </c>
      <c r="Y45" s="38">
        <f t="shared" si="15"/>
        <v>0</v>
      </c>
      <c r="Z45" s="38"/>
      <c r="AA45" s="38"/>
      <c r="AB45" s="38"/>
      <c r="AC45" s="38"/>
      <c r="AD45" s="38"/>
      <c r="AE45" s="38"/>
      <c r="AF45" s="38"/>
      <c r="AG45" s="48"/>
    </row>
    <row r="46" spans="1:34">
      <c r="A46" s="47"/>
      <c r="B46" s="38">
        <v>4</v>
      </c>
      <c r="C46" s="38">
        <f t="shared" si="12"/>
        <v>0</v>
      </c>
      <c r="D46" s="38" t="str">
        <f t="shared" si="13"/>
        <v/>
      </c>
      <c r="E46" s="38" t="str">
        <f t="shared" si="13"/>
        <v/>
      </c>
      <c r="F46" s="38">
        <f t="shared" si="14"/>
        <v>0</v>
      </c>
      <c r="G46" s="43">
        <f>SUM(C43:C58)</f>
        <v>3</v>
      </c>
      <c r="H46" s="38">
        <f>IF(C46=1,(F46-$G$43)^2,0)</f>
        <v>0</v>
      </c>
      <c r="I46" s="38"/>
      <c r="J46" s="38" t="s">
        <v>13</v>
      </c>
      <c r="K46" s="38"/>
      <c r="L46" s="38"/>
      <c r="M46" s="38"/>
      <c r="N46" s="38">
        <v>6</v>
      </c>
      <c r="O46" s="38">
        <v>0.46300000000000002</v>
      </c>
      <c r="P46" s="38">
        <v>0.26400000000000001</v>
      </c>
      <c r="Q46" s="38">
        <v>0.82299999999999995</v>
      </c>
      <c r="R46" s="38">
        <v>0.438</v>
      </c>
      <c r="S46" s="38"/>
      <c r="T46" s="38"/>
      <c r="U46" s="38" t="e">
        <f>IF(C46=1,SUM($F$43:F46)/SUM($C$43:C46),#N/A)</f>
        <v>#N/A</v>
      </c>
      <c r="V46" s="38" t="e">
        <f>IF(C46=1,STDEVA($F$43:F46),#N/A)</f>
        <v>#N/A</v>
      </c>
      <c r="W46" s="38" t="e">
        <f t="shared" si="16"/>
        <v>#N/A</v>
      </c>
      <c r="X46" s="38" t="e">
        <f t="shared" si="17"/>
        <v>#N/A</v>
      </c>
      <c r="Y46" s="38" t="e">
        <f t="shared" si="15"/>
        <v>#N/A</v>
      </c>
      <c r="Z46" s="38"/>
      <c r="AA46" s="38"/>
      <c r="AB46" s="38"/>
      <c r="AC46" s="38"/>
      <c r="AD46" s="38"/>
      <c r="AE46" s="38"/>
      <c r="AF46" s="38"/>
      <c r="AG46" s="48"/>
    </row>
    <row r="47" spans="1:34">
      <c r="A47" s="47"/>
      <c r="B47" s="38">
        <v>5</v>
      </c>
      <c r="C47" s="38">
        <f t="shared" si="12"/>
        <v>0</v>
      </c>
      <c r="D47" s="38" t="str">
        <f t="shared" si="13"/>
        <v/>
      </c>
      <c r="E47" s="38" t="str">
        <f t="shared" si="13"/>
        <v/>
      </c>
      <c r="F47" s="38">
        <f t="shared" si="14"/>
        <v>0</v>
      </c>
      <c r="G47" s="38"/>
      <c r="H47" s="38">
        <f t="shared" ref="H47:H58" si="18">IF(C47=1,(F47-$G$43)^2,0)</f>
        <v>0</v>
      </c>
      <c r="I47" s="38"/>
      <c r="J47" s="38">
        <f>VLOOKUP($G$46,$N$43:$R$56,3,0)</f>
        <v>0.438</v>
      </c>
      <c r="K47" s="38"/>
      <c r="L47" s="38"/>
      <c r="M47" s="38"/>
      <c r="N47" s="38">
        <v>7</v>
      </c>
      <c r="O47" s="38">
        <v>0.36099999999999999</v>
      </c>
      <c r="P47" s="38">
        <v>0.22800000000000001</v>
      </c>
      <c r="Q47" s="38">
        <v>0.73399999999999999</v>
      </c>
      <c r="R47" s="38">
        <v>0.438</v>
      </c>
      <c r="S47" s="38"/>
      <c r="T47" s="38"/>
      <c r="U47" s="38" t="e">
        <f>IF(C47=1,SUM($F$43:F47)/SUM($C$43:C47),#N/A)</f>
        <v>#N/A</v>
      </c>
      <c r="V47" s="38" t="e">
        <f>IF(C47=1,STDEVA($F$43:F47),#N/A)</f>
        <v>#N/A</v>
      </c>
      <c r="W47" s="38" t="e">
        <f t="shared" si="16"/>
        <v>#N/A</v>
      </c>
      <c r="X47" s="38" t="e">
        <f t="shared" si="17"/>
        <v>#N/A</v>
      </c>
      <c r="Y47" s="38" t="e">
        <f t="shared" si="15"/>
        <v>#N/A</v>
      </c>
      <c r="Z47" s="38"/>
      <c r="AA47" s="38"/>
      <c r="AB47" s="38"/>
      <c r="AC47" s="38"/>
      <c r="AD47" s="38"/>
      <c r="AE47" s="38"/>
      <c r="AF47" s="38"/>
      <c r="AG47" s="48"/>
    </row>
    <row r="48" spans="1:34">
      <c r="A48" s="47"/>
      <c r="B48" s="38">
        <v>6</v>
      </c>
      <c r="C48" s="38">
        <f t="shared" si="12"/>
        <v>0</v>
      </c>
      <c r="D48" s="38" t="str">
        <f t="shared" si="13"/>
        <v/>
      </c>
      <c r="E48" s="38" t="str">
        <f t="shared" si="13"/>
        <v/>
      </c>
      <c r="F48" s="38">
        <f t="shared" si="14"/>
        <v>0</v>
      </c>
      <c r="G48" s="38"/>
      <c r="H48" s="38">
        <f t="shared" si="18"/>
        <v>0</v>
      </c>
      <c r="I48" s="38"/>
      <c r="J48" s="38" t="s">
        <v>14</v>
      </c>
      <c r="K48" s="38"/>
      <c r="L48" s="38"/>
      <c r="M48" s="38"/>
      <c r="N48" s="38">
        <v>8</v>
      </c>
      <c r="O48" s="38">
        <v>0.28499999999999998</v>
      </c>
      <c r="P48" s="38">
        <v>0.19600000000000001</v>
      </c>
      <c r="Q48" s="38">
        <v>0.67</v>
      </c>
      <c r="R48" s="38">
        <v>0.438</v>
      </c>
      <c r="S48" s="38"/>
      <c r="T48" s="38"/>
      <c r="U48" s="38" t="e">
        <f>IF(C48=1,SUM($F$43:F48)/SUM($C$43:C48),#N/A)</f>
        <v>#N/A</v>
      </c>
      <c r="V48" s="38" t="e">
        <f>IF(C48=1,STDEVA($F$43:F48),#N/A)</f>
        <v>#N/A</v>
      </c>
      <c r="W48" s="38" t="e">
        <f t="shared" si="16"/>
        <v>#N/A</v>
      </c>
      <c r="X48" s="38" t="e">
        <f t="shared" si="17"/>
        <v>#N/A</v>
      </c>
      <c r="Y48" s="38" t="e">
        <f t="shared" si="15"/>
        <v>#N/A</v>
      </c>
      <c r="Z48" s="38"/>
      <c r="AA48" s="38"/>
      <c r="AB48" s="38"/>
      <c r="AC48" s="38"/>
      <c r="AD48" s="38"/>
      <c r="AE48" s="38"/>
      <c r="AF48" s="38"/>
      <c r="AG48" s="48"/>
    </row>
    <row r="49" spans="1:34">
      <c r="A49" s="47"/>
      <c r="B49" s="38">
        <v>7</v>
      </c>
      <c r="C49" s="38">
        <f t="shared" si="12"/>
        <v>0</v>
      </c>
      <c r="D49" s="38" t="str">
        <f t="shared" si="13"/>
        <v/>
      </c>
      <c r="E49" s="38" t="str">
        <f t="shared" si="13"/>
        <v/>
      </c>
      <c r="F49" s="38">
        <f t="shared" si="14"/>
        <v>0</v>
      </c>
      <c r="G49" s="38"/>
      <c r="H49" s="38">
        <f t="shared" si="18"/>
        <v>0</v>
      </c>
      <c r="I49" s="38"/>
      <c r="J49" s="38">
        <f>VLOOKUP($G$46,$N$43:$R$56,4,0)</f>
        <v>1.6859999999999999</v>
      </c>
      <c r="K49" s="38"/>
      <c r="L49" s="38"/>
      <c r="M49" s="38"/>
      <c r="N49" s="38">
        <v>9</v>
      </c>
      <c r="O49" s="38">
        <v>0.22600000000000001</v>
      </c>
      <c r="P49" s="38">
        <v>0.16600000000000001</v>
      </c>
      <c r="Q49" s="38">
        <v>0.62</v>
      </c>
      <c r="R49" s="38">
        <v>0.438</v>
      </c>
      <c r="S49" s="38"/>
      <c r="T49" s="38"/>
      <c r="U49" s="38" t="e">
        <f>IF(C49=1,SUM($F$43:F49)/SUM($C$43:C49),#N/A)</f>
        <v>#N/A</v>
      </c>
      <c r="V49" s="38" t="e">
        <f>IF(C49=1,STDEVA($F$43:F49),#N/A)</f>
        <v>#N/A</v>
      </c>
      <c r="W49" s="38" t="e">
        <f t="shared" si="16"/>
        <v>#N/A</v>
      </c>
      <c r="X49" s="38" t="e">
        <f t="shared" si="17"/>
        <v>#N/A</v>
      </c>
      <c r="Y49" s="38" t="e">
        <f t="shared" si="15"/>
        <v>#N/A</v>
      </c>
      <c r="Z49" s="38"/>
      <c r="AA49" s="38"/>
      <c r="AB49" s="38"/>
      <c r="AC49" s="38"/>
      <c r="AD49" s="38"/>
      <c r="AE49" s="38"/>
      <c r="AF49" s="38"/>
      <c r="AG49" s="48"/>
    </row>
    <row r="50" spans="1:34">
      <c r="A50" s="47"/>
      <c r="B50" s="38">
        <v>8</v>
      </c>
      <c r="C50" s="38">
        <f t="shared" si="12"/>
        <v>0</v>
      </c>
      <c r="D50" s="38" t="str">
        <f t="shared" si="13"/>
        <v/>
      </c>
      <c r="E50" s="38" t="str">
        <f t="shared" si="13"/>
        <v/>
      </c>
      <c r="F50" s="38">
        <f t="shared" si="14"/>
        <v>0</v>
      </c>
      <c r="G50" s="38"/>
      <c r="H50" s="38">
        <f t="shared" si="18"/>
        <v>0</v>
      </c>
      <c r="I50" s="38"/>
      <c r="J50" s="38" t="s">
        <v>15</v>
      </c>
      <c r="K50" s="38"/>
      <c r="L50" s="38"/>
      <c r="M50" s="38"/>
      <c r="N50" s="38">
        <v>10</v>
      </c>
      <c r="O50" s="38">
        <v>0.18</v>
      </c>
      <c r="P50" s="38">
        <v>0.14000000000000001</v>
      </c>
      <c r="Q50" s="38">
        <v>0.57999999999999996</v>
      </c>
      <c r="R50" s="38">
        <v>0.438</v>
      </c>
      <c r="S50" s="38"/>
      <c r="T50" s="38"/>
      <c r="U50" s="38" t="e">
        <f>IF(C50=1,SUM($F$43:F50)/SUM($C$43:C50),#N/A)</f>
        <v>#N/A</v>
      </c>
      <c r="V50" s="38" t="e">
        <f>IF(C50=1,STDEVA($F$43:F50),#N/A)</f>
        <v>#N/A</v>
      </c>
      <c r="W50" s="38" t="e">
        <f t="shared" si="16"/>
        <v>#N/A</v>
      </c>
      <c r="X50" s="38" t="e">
        <f t="shared" si="17"/>
        <v>#N/A</v>
      </c>
      <c r="Y50" s="38" t="e">
        <f t="shared" si="15"/>
        <v>#N/A</v>
      </c>
      <c r="Z50" s="38"/>
      <c r="AA50" s="38"/>
      <c r="AB50" s="38"/>
      <c r="AC50" s="38"/>
      <c r="AD50" s="38"/>
      <c r="AE50" s="38"/>
      <c r="AF50" s="38"/>
      <c r="AG50" s="48"/>
    </row>
    <row r="51" spans="1:34">
      <c r="A51" s="47"/>
      <c r="B51" s="38">
        <v>9</v>
      </c>
      <c r="C51" s="38">
        <f t="shared" si="12"/>
        <v>0</v>
      </c>
      <c r="D51" s="38" t="str">
        <f t="shared" si="13"/>
        <v/>
      </c>
      <c r="E51" s="38" t="str">
        <f t="shared" si="13"/>
        <v/>
      </c>
      <c r="F51" s="38">
        <f t="shared" si="14"/>
        <v>0</v>
      </c>
      <c r="G51" s="38"/>
      <c r="H51" s="38">
        <f t="shared" si="18"/>
        <v>0</v>
      </c>
      <c r="I51" s="38"/>
      <c r="J51" s="38">
        <f>VLOOKUP($G$46,$N$43:$R$56,5,0)</f>
        <v>0.438</v>
      </c>
      <c r="K51" s="38"/>
      <c r="L51" s="38"/>
      <c r="M51" s="38"/>
      <c r="N51" s="38">
        <v>11</v>
      </c>
      <c r="O51" s="38">
        <v>0.13900000000000001</v>
      </c>
      <c r="P51" s="38">
        <v>0.114</v>
      </c>
      <c r="Q51" s="38">
        <v>0.54600000000000004</v>
      </c>
      <c r="R51" s="38">
        <v>0.438</v>
      </c>
      <c r="S51" s="38"/>
      <c r="T51" s="38"/>
      <c r="U51" s="38" t="e">
        <f>IF(C51=1,SUM($F$43:F51)/SUM($C$43:C51),#N/A)</f>
        <v>#N/A</v>
      </c>
      <c r="V51" s="38" t="e">
        <f>IF(C51=1,STDEVA($F$43:F51),#N/A)</f>
        <v>#N/A</v>
      </c>
      <c r="W51" s="38" t="e">
        <f t="shared" si="16"/>
        <v>#N/A</v>
      </c>
      <c r="X51" s="38" t="e">
        <f t="shared" si="17"/>
        <v>#N/A</v>
      </c>
      <c r="Y51" s="38" t="e">
        <f t="shared" si="15"/>
        <v>#N/A</v>
      </c>
      <c r="Z51" s="38"/>
      <c r="AA51" s="38"/>
      <c r="AB51" s="38"/>
      <c r="AC51" s="38"/>
      <c r="AD51" s="38"/>
      <c r="AE51" s="38"/>
      <c r="AF51" s="38"/>
      <c r="AG51" s="48"/>
    </row>
    <row r="52" spans="1:34">
      <c r="A52" s="47"/>
      <c r="B52" s="38">
        <v>10</v>
      </c>
      <c r="C52" s="38">
        <f t="shared" si="12"/>
        <v>0</v>
      </c>
      <c r="D52" s="38" t="str">
        <f t="shared" si="13"/>
        <v/>
      </c>
      <c r="E52" s="38" t="str">
        <f t="shared" si="13"/>
        <v/>
      </c>
      <c r="F52" s="38">
        <f t="shared" si="14"/>
        <v>0</v>
      </c>
      <c r="G52" s="38"/>
      <c r="H52" s="38">
        <f t="shared" si="18"/>
        <v>0</v>
      </c>
      <c r="I52" s="38"/>
      <c r="J52" s="38"/>
      <c r="K52" s="38"/>
      <c r="L52" s="38"/>
      <c r="M52" s="38"/>
      <c r="N52" s="38">
        <v>12</v>
      </c>
      <c r="O52" s="38">
        <v>0.105</v>
      </c>
      <c r="P52" s="38">
        <v>0.09</v>
      </c>
      <c r="Q52" s="38">
        <v>0.51800000000000002</v>
      </c>
      <c r="R52" s="38">
        <v>0.438</v>
      </c>
      <c r="S52" s="38"/>
      <c r="T52" s="38"/>
      <c r="U52" s="38" t="e">
        <f>IF(C52=1,SUM($F$43:F52)/SUM($C$43:C52),#N/A)</f>
        <v>#N/A</v>
      </c>
      <c r="V52" s="38" t="e">
        <f>IF(C52=1,STDEVA($F$43:F52),#N/A)</f>
        <v>#N/A</v>
      </c>
      <c r="W52" s="38" t="e">
        <f t="shared" si="16"/>
        <v>#N/A</v>
      </c>
      <c r="X52" s="38" t="e">
        <f t="shared" si="17"/>
        <v>#N/A</v>
      </c>
      <c r="Y52" s="38" t="e">
        <f t="shared" si="15"/>
        <v>#N/A</v>
      </c>
      <c r="Z52" s="38"/>
      <c r="AA52" s="38"/>
      <c r="AB52" s="38"/>
      <c r="AC52" s="38"/>
      <c r="AD52" s="38"/>
      <c r="AE52" s="38"/>
      <c r="AF52" s="38"/>
      <c r="AG52" s="48"/>
      <c r="AH52" s="1" t="s">
        <v>40</v>
      </c>
    </row>
    <row r="53" spans="1:34">
      <c r="A53" s="47"/>
      <c r="B53" s="38">
        <v>11</v>
      </c>
      <c r="C53" s="38">
        <f t="shared" si="12"/>
        <v>0</v>
      </c>
      <c r="D53" s="38" t="str">
        <f t="shared" si="13"/>
        <v/>
      </c>
      <c r="E53" s="38" t="str">
        <f t="shared" si="13"/>
        <v/>
      </c>
      <c r="F53" s="38">
        <f t="shared" si="14"/>
        <v>0</v>
      </c>
      <c r="G53" s="38"/>
      <c r="H53" s="38">
        <f t="shared" si="18"/>
        <v>0</v>
      </c>
      <c r="I53" s="38"/>
      <c r="J53" s="38"/>
      <c r="K53" s="38"/>
      <c r="L53" s="38"/>
      <c r="M53" s="38"/>
      <c r="N53" s="38">
        <v>13</v>
      </c>
      <c r="O53" s="38">
        <v>7.4999999999999997E-2</v>
      </c>
      <c r="P53" s="38">
        <v>6.7000000000000004E-2</v>
      </c>
      <c r="Q53" s="38">
        <v>0.49399999999999999</v>
      </c>
      <c r="R53" s="38">
        <v>0.438</v>
      </c>
      <c r="S53" s="38"/>
      <c r="T53" s="38"/>
      <c r="U53" s="38" t="e">
        <f>IF(C53=1,SUM($F$43:F53)/SUM($C$43:C53),#N/A)</f>
        <v>#N/A</v>
      </c>
      <c r="V53" s="38" t="e">
        <f>IF(C53=1,STDEVA($F$43:F53),#N/A)</f>
        <v>#N/A</v>
      </c>
      <c r="W53" s="38" t="e">
        <f t="shared" si="16"/>
        <v>#N/A</v>
      </c>
      <c r="X53" s="38" t="e">
        <f t="shared" si="17"/>
        <v>#N/A</v>
      </c>
      <c r="Y53" s="38" t="e">
        <f t="shared" si="15"/>
        <v>#N/A</v>
      </c>
      <c r="Z53" s="38"/>
      <c r="AA53" s="38"/>
      <c r="AB53" s="38"/>
      <c r="AC53" s="38"/>
      <c r="AD53" s="38"/>
      <c r="AE53" s="38"/>
      <c r="AF53" s="38"/>
      <c r="AG53" s="48"/>
      <c r="AH53" s="1" t="s">
        <v>41</v>
      </c>
    </row>
    <row r="54" spans="1:34">
      <c r="A54" s="47"/>
      <c r="B54" s="38">
        <v>12</v>
      </c>
      <c r="C54" s="38">
        <f t="shared" si="12"/>
        <v>0</v>
      </c>
      <c r="D54" s="38" t="str">
        <f t="shared" si="13"/>
        <v/>
      </c>
      <c r="E54" s="38" t="str">
        <f t="shared" si="13"/>
        <v/>
      </c>
      <c r="F54" s="38">
        <f t="shared" si="14"/>
        <v>0</v>
      </c>
      <c r="G54" s="38"/>
      <c r="H54" s="38">
        <f t="shared" si="18"/>
        <v>0</v>
      </c>
      <c r="I54" s="38"/>
      <c r="J54" s="38"/>
      <c r="K54" s="38"/>
      <c r="L54" s="38"/>
      <c r="M54" s="38"/>
      <c r="N54" s="38">
        <v>14</v>
      </c>
      <c r="O54" s="38">
        <v>4.7E-2</v>
      </c>
      <c r="P54" s="38">
        <v>4.3999999999999997E-2</v>
      </c>
      <c r="Q54" s="38">
        <v>0.47299999999999998</v>
      </c>
      <c r="R54" s="38">
        <v>0.438</v>
      </c>
      <c r="S54" s="38"/>
      <c r="T54" s="38"/>
      <c r="U54" s="38" t="e">
        <f>IF(C54=1,SUM($F$43:F54)/SUM($C$43:C54),#N/A)</f>
        <v>#N/A</v>
      </c>
      <c r="V54" s="38" t="e">
        <f>IF(C54=1,STDEVA($F$43:F54),#N/A)</f>
        <v>#N/A</v>
      </c>
      <c r="W54" s="38" t="e">
        <f t="shared" si="16"/>
        <v>#N/A</v>
      </c>
      <c r="X54" s="38" t="e">
        <f t="shared" si="17"/>
        <v>#N/A</v>
      </c>
      <c r="Y54" s="38" t="e">
        <f t="shared" si="15"/>
        <v>#N/A</v>
      </c>
      <c r="Z54" s="38"/>
      <c r="AA54" s="38"/>
      <c r="AB54" s="38"/>
      <c r="AC54" s="38"/>
      <c r="AD54" s="38"/>
      <c r="AE54" s="38"/>
      <c r="AF54" s="38"/>
      <c r="AG54" s="48"/>
    </row>
    <row r="55" spans="1:34">
      <c r="A55" s="47"/>
      <c r="B55" s="38">
        <v>13</v>
      </c>
      <c r="C55" s="38">
        <f t="shared" si="12"/>
        <v>0</v>
      </c>
      <c r="D55" s="38" t="str">
        <f t="shared" si="13"/>
        <v/>
      </c>
      <c r="E55" s="38" t="str">
        <f t="shared" si="13"/>
        <v/>
      </c>
      <c r="F55" s="38">
        <f t="shared" si="14"/>
        <v>0</v>
      </c>
      <c r="G55" s="38"/>
      <c r="H55" s="38">
        <f t="shared" si="18"/>
        <v>0</v>
      </c>
      <c r="I55" s="38"/>
      <c r="J55" s="38"/>
      <c r="K55" s="38"/>
      <c r="L55" s="38"/>
      <c r="M55" s="38"/>
      <c r="N55" s="38">
        <v>15</v>
      </c>
      <c r="O55" s="38">
        <v>2.3E-2</v>
      </c>
      <c r="P55" s="38">
        <v>2.1999999999999999E-2</v>
      </c>
      <c r="Q55" s="38">
        <v>0.45500000000000002</v>
      </c>
      <c r="R55" s="38">
        <v>0.438</v>
      </c>
      <c r="S55" s="38"/>
      <c r="T55" s="38"/>
      <c r="U55" s="38" t="e">
        <f>IF(C55=1,SUM($F$43:F55)/SUM($C$43:C55),#N/A)</f>
        <v>#N/A</v>
      </c>
      <c r="V55" s="38" t="e">
        <f>IF(C55=1,STDEVA($F$43:F55),#N/A)</f>
        <v>#N/A</v>
      </c>
      <c r="W55" s="38" t="e">
        <f t="shared" si="16"/>
        <v>#N/A</v>
      </c>
      <c r="X55" s="38" t="e">
        <f t="shared" si="17"/>
        <v>#N/A</v>
      </c>
      <c r="Y55" s="38" t="e">
        <f t="shared" si="15"/>
        <v>#N/A</v>
      </c>
      <c r="Z55" s="38"/>
      <c r="AA55" s="38"/>
      <c r="AB55" s="38"/>
      <c r="AC55" s="38"/>
      <c r="AD55" s="38"/>
      <c r="AE55" s="38"/>
      <c r="AF55" s="38"/>
      <c r="AG55" s="48"/>
    </row>
    <row r="56" spans="1:34">
      <c r="A56" s="47"/>
      <c r="B56" s="38">
        <v>14</v>
      </c>
      <c r="C56" s="38">
        <f t="shared" si="12"/>
        <v>0</v>
      </c>
      <c r="D56" s="38" t="str">
        <f t="shared" si="13"/>
        <v/>
      </c>
      <c r="E56" s="38" t="str">
        <f t="shared" si="13"/>
        <v/>
      </c>
      <c r="F56" s="38">
        <f t="shared" si="14"/>
        <v>0</v>
      </c>
      <c r="G56" s="38"/>
      <c r="H56" s="38">
        <f t="shared" si="18"/>
        <v>0</v>
      </c>
      <c r="I56" s="38"/>
      <c r="J56" s="38"/>
      <c r="K56" s="38"/>
      <c r="L56" s="38"/>
      <c r="M56" s="38"/>
      <c r="N56" s="38">
        <v>16</v>
      </c>
      <c r="O56" s="38">
        <v>0</v>
      </c>
      <c r="P56" s="38">
        <v>0</v>
      </c>
      <c r="Q56" s="38">
        <v>0.438</v>
      </c>
      <c r="R56" s="38">
        <v>0.438</v>
      </c>
      <c r="S56" s="38"/>
      <c r="T56" s="38"/>
      <c r="U56" s="38" t="e">
        <f>IF(C56=1,SUM($F$43:F56)/SUM($C$43:C56),#N/A)</f>
        <v>#N/A</v>
      </c>
      <c r="V56" s="38" t="e">
        <f>IF(C56=1,STDEVA($F$43:F56),#N/A)</f>
        <v>#N/A</v>
      </c>
      <c r="W56" s="38" t="e">
        <f t="shared" si="16"/>
        <v>#N/A</v>
      </c>
      <c r="X56" s="38" t="e">
        <f t="shared" si="17"/>
        <v>#N/A</v>
      </c>
      <c r="Y56" s="38" t="e">
        <f t="shared" si="15"/>
        <v>#N/A</v>
      </c>
      <c r="Z56" s="38"/>
      <c r="AA56" s="38"/>
      <c r="AB56" s="38"/>
      <c r="AC56" s="38"/>
      <c r="AD56" s="38"/>
      <c r="AE56" s="38"/>
      <c r="AF56" s="38"/>
      <c r="AG56" s="48"/>
    </row>
    <row r="57" spans="1:34">
      <c r="A57" s="47"/>
      <c r="B57" s="38">
        <v>15</v>
      </c>
      <c r="C57" s="38">
        <f t="shared" si="12"/>
        <v>0</v>
      </c>
      <c r="D57" s="38" t="str">
        <f t="shared" si="13"/>
        <v/>
      </c>
      <c r="E57" s="38" t="str">
        <f t="shared" si="13"/>
        <v/>
      </c>
      <c r="F57" s="38">
        <f t="shared" si="14"/>
        <v>0</v>
      </c>
      <c r="G57" s="38"/>
      <c r="H57" s="38">
        <f t="shared" si="18"/>
        <v>0</v>
      </c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 t="e">
        <f>IF(C57=1,SUM($F$43:F57)/SUM($C$43:C57),#N/A)</f>
        <v>#N/A</v>
      </c>
      <c r="V57" s="38" t="e">
        <f>IF(C57=1,STDEVA($F$43:F57),#N/A)</f>
        <v>#N/A</v>
      </c>
      <c r="W57" s="38" t="e">
        <f t="shared" si="16"/>
        <v>#N/A</v>
      </c>
      <c r="X57" s="38" t="e">
        <f t="shared" si="17"/>
        <v>#N/A</v>
      </c>
      <c r="Y57" s="38" t="e">
        <f t="shared" si="15"/>
        <v>#N/A</v>
      </c>
      <c r="Z57" s="38"/>
      <c r="AA57" s="38"/>
      <c r="AB57" s="38"/>
      <c r="AC57" s="38"/>
      <c r="AD57" s="38"/>
      <c r="AE57" s="38"/>
      <c r="AF57" s="38"/>
      <c r="AG57" s="48"/>
    </row>
    <row r="58" spans="1:34" ht="14.5" thickBot="1">
      <c r="A58" s="49"/>
      <c r="B58" s="50">
        <v>16</v>
      </c>
      <c r="C58" s="50">
        <f t="shared" si="12"/>
        <v>0</v>
      </c>
      <c r="D58" s="50" t="str">
        <f t="shared" si="13"/>
        <v/>
      </c>
      <c r="E58" s="50" t="str">
        <f t="shared" si="13"/>
        <v/>
      </c>
      <c r="F58" s="50">
        <f t="shared" si="14"/>
        <v>0</v>
      </c>
      <c r="G58" s="50"/>
      <c r="H58" s="50">
        <f t="shared" si="18"/>
        <v>0</v>
      </c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 t="e">
        <f>IF(C58=1,SUM($F$43:F58)/SUM($C$43:C58),#N/A)</f>
        <v>#N/A</v>
      </c>
      <c r="V58" s="50" t="e">
        <f>IF(C58=1,STDEVA($F$43:F58),#N/A)</f>
        <v>#N/A</v>
      </c>
      <c r="W58" s="50" t="e">
        <f t="shared" si="16"/>
        <v>#N/A</v>
      </c>
      <c r="X58" s="50" t="e">
        <f t="shared" si="17"/>
        <v>#N/A</v>
      </c>
      <c r="Y58" s="50" t="e">
        <f t="shared" si="15"/>
        <v>#N/A</v>
      </c>
      <c r="Z58" s="50"/>
      <c r="AA58" s="50"/>
      <c r="AB58" s="50"/>
      <c r="AC58" s="50"/>
      <c r="AD58" s="50"/>
      <c r="AE58" s="50"/>
      <c r="AF58" s="50"/>
      <c r="AG58" s="52"/>
    </row>
    <row r="59" spans="1:34" ht="38.25" customHeight="1" thickBot="1"/>
    <row r="60" spans="1:34">
      <c r="A60" s="44" t="s">
        <v>32</v>
      </c>
      <c r="B60" s="45"/>
      <c r="C60" s="45"/>
      <c r="D60" s="45" t="s">
        <v>16</v>
      </c>
      <c r="E60" s="45" t="s">
        <v>17</v>
      </c>
      <c r="F60" s="45" t="s">
        <v>21</v>
      </c>
      <c r="G60" s="45"/>
      <c r="H60" s="45" t="s">
        <v>22</v>
      </c>
      <c r="I60" s="45" t="s">
        <v>28</v>
      </c>
      <c r="J60" s="45" t="s">
        <v>27</v>
      </c>
      <c r="K60" s="45" t="s">
        <v>9</v>
      </c>
      <c r="L60" s="45" t="s">
        <v>10</v>
      </c>
      <c r="M60" s="45" t="s">
        <v>11</v>
      </c>
      <c r="N60" s="45"/>
      <c r="O60" s="45" t="s">
        <v>19</v>
      </c>
      <c r="P60" s="45" t="s">
        <v>20</v>
      </c>
      <c r="Q60" s="46"/>
    </row>
    <row r="61" spans="1:34">
      <c r="A61" s="47"/>
      <c r="B61" s="38">
        <v>1</v>
      </c>
      <c r="C61" s="38">
        <f t="shared" ref="C61:C80" si="19">IF(OR(D61="",E61=""),0,1)</f>
        <v>1</v>
      </c>
      <c r="D61" s="38">
        <f>IF(D4="","",D4)</f>
        <v>85</v>
      </c>
      <c r="E61" s="38">
        <f>IF(E4="","",E4)</f>
        <v>84</v>
      </c>
      <c r="F61" s="38">
        <f>IF(C61=1,E61-D61,"")</f>
        <v>-1</v>
      </c>
      <c r="G61" s="38"/>
      <c r="H61" s="38">
        <f>IF(C61=1,IF(F61&gt;$J$61,1,0),"")</f>
        <v>0</v>
      </c>
      <c r="I61" s="38">
        <f>SUM(H61:H70)</f>
        <v>0</v>
      </c>
      <c r="J61" s="39">
        <v>5</v>
      </c>
      <c r="K61" s="38">
        <f>VLOOKUP($G$28,$N$61:$P$68,2)</f>
        <v>0</v>
      </c>
      <c r="L61" s="38">
        <f>VLOOKUP($G$28,$N$61:$P$68,3)</f>
        <v>3</v>
      </c>
      <c r="M61" s="38"/>
      <c r="N61" s="38">
        <v>3</v>
      </c>
      <c r="O61" s="38">
        <v>0</v>
      </c>
      <c r="P61" s="38">
        <v>3</v>
      </c>
      <c r="Q61" s="62" t="s">
        <v>24</v>
      </c>
    </row>
    <row r="62" spans="1:34">
      <c r="A62" s="47"/>
      <c r="B62" s="38">
        <v>2</v>
      </c>
      <c r="C62" s="38">
        <f t="shared" si="19"/>
        <v>1</v>
      </c>
      <c r="D62" s="38">
        <f t="shared" ref="D62:E77" si="20">IF(D5="","",D5)</f>
        <v>85</v>
      </c>
      <c r="E62" s="38">
        <f t="shared" si="20"/>
        <v>85</v>
      </c>
      <c r="F62" s="38">
        <f t="shared" ref="F62:F80" si="21">IF(C62=1,E62-D62,"")</f>
        <v>0</v>
      </c>
      <c r="G62" s="38"/>
      <c r="H62" s="38">
        <f t="shared" ref="H62:H80" si="22">IF(C62=1,IF(F62&gt;$J$61,1,0),"")</f>
        <v>0</v>
      </c>
      <c r="I62" s="38"/>
      <c r="J62" s="38"/>
      <c r="K62" s="40" t="str">
        <f>IF((SUM(H61:H70))&lt;=$K$61,"PASS","")</f>
        <v>PASS</v>
      </c>
      <c r="L62" s="41" t="str">
        <f>IF((SUM(H61:H70))&gt;=$L$61,"FAIL","")</f>
        <v/>
      </c>
      <c r="M62" s="42" t="str">
        <f>IF(AND((SUM(H61:H70))&lt;$L$61,SUM(H61:H70)&gt;$K$61),"ONE MORE VEHICLE","")</f>
        <v/>
      </c>
      <c r="N62" s="38">
        <v>4</v>
      </c>
      <c r="O62" s="38">
        <v>1</v>
      </c>
      <c r="P62" s="38">
        <v>3</v>
      </c>
      <c r="Q62" s="62"/>
    </row>
    <row r="63" spans="1:34">
      <c r="A63" s="47"/>
      <c r="B63" s="38">
        <v>3</v>
      </c>
      <c r="C63" s="38">
        <f t="shared" si="19"/>
        <v>1</v>
      </c>
      <c r="D63" s="38">
        <f t="shared" si="20"/>
        <v>85</v>
      </c>
      <c r="E63" s="38">
        <f t="shared" si="20"/>
        <v>85</v>
      </c>
      <c r="F63" s="38">
        <f t="shared" si="21"/>
        <v>0</v>
      </c>
      <c r="G63" s="38"/>
      <c r="H63" s="38">
        <f t="shared" si="22"/>
        <v>0</v>
      </c>
      <c r="I63" s="38"/>
      <c r="J63" s="38"/>
      <c r="K63" s="38"/>
      <c r="L63" s="38"/>
      <c r="M63" s="38"/>
      <c r="N63" s="38">
        <v>5</v>
      </c>
      <c r="O63" s="38">
        <v>1</v>
      </c>
      <c r="P63" s="38">
        <v>4</v>
      </c>
      <c r="Q63" s="62"/>
    </row>
    <row r="64" spans="1:34">
      <c r="A64" s="47"/>
      <c r="B64" s="38">
        <v>4</v>
      </c>
      <c r="C64" s="38">
        <f t="shared" si="19"/>
        <v>0</v>
      </c>
      <c r="D64" s="38" t="str">
        <f t="shared" si="20"/>
        <v/>
      </c>
      <c r="E64" s="38" t="str">
        <f t="shared" si="20"/>
        <v/>
      </c>
      <c r="F64" s="38" t="str">
        <f t="shared" si="21"/>
        <v/>
      </c>
      <c r="G64" s="43">
        <f>SUM(C61:C76)</f>
        <v>3</v>
      </c>
      <c r="H64" s="38" t="str">
        <f t="shared" si="22"/>
        <v/>
      </c>
      <c r="I64" s="38"/>
      <c r="J64" s="38"/>
      <c r="K64" s="38"/>
      <c r="L64" s="38"/>
      <c r="M64" s="38"/>
      <c r="N64" s="38">
        <v>6</v>
      </c>
      <c r="O64" s="38">
        <v>1</v>
      </c>
      <c r="P64" s="38">
        <v>5</v>
      </c>
      <c r="Q64" s="62"/>
    </row>
    <row r="65" spans="1:17">
      <c r="A65" s="47"/>
      <c r="B65" s="38">
        <v>5</v>
      </c>
      <c r="C65" s="38">
        <f t="shared" si="19"/>
        <v>0</v>
      </c>
      <c r="D65" s="38" t="str">
        <f t="shared" si="20"/>
        <v/>
      </c>
      <c r="E65" s="38" t="str">
        <f t="shared" si="20"/>
        <v/>
      </c>
      <c r="F65" s="38" t="str">
        <f t="shared" si="21"/>
        <v/>
      </c>
      <c r="G65" s="38"/>
      <c r="H65" s="38" t="str">
        <f t="shared" si="22"/>
        <v/>
      </c>
      <c r="I65" s="38"/>
      <c r="J65" s="38"/>
      <c r="K65" s="38"/>
      <c r="L65" s="38"/>
      <c r="M65" s="38"/>
      <c r="N65" s="38">
        <v>7</v>
      </c>
      <c r="O65" s="38">
        <v>2</v>
      </c>
      <c r="P65" s="38">
        <v>5</v>
      </c>
      <c r="Q65" s="62"/>
    </row>
    <row r="66" spans="1:17">
      <c r="A66" s="47"/>
      <c r="B66" s="38">
        <v>6</v>
      </c>
      <c r="C66" s="38">
        <f t="shared" si="19"/>
        <v>0</v>
      </c>
      <c r="D66" s="38" t="str">
        <f t="shared" si="20"/>
        <v/>
      </c>
      <c r="E66" s="38" t="str">
        <f t="shared" si="20"/>
        <v/>
      </c>
      <c r="F66" s="38" t="str">
        <f t="shared" si="21"/>
        <v/>
      </c>
      <c r="G66" s="38"/>
      <c r="H66" s="38" t="str">
        <f t="shared" si="22"/>
        <v/>
      </c>
      <c r="I66" s="38"/>
      <c r="J66" s="38"/>
      <c r="K66" s="38"/>
      <c r="L66" s="38"/>
      <c r="M66" s="38"/>
      <c r="N66" s="38">
        <v>8</v>
      </c>
      <c r="O66" s="38">
        <v>2</v>
      </c>
      <c r="P66" s="38">
        <v>6</v>
      </c>
      <c r="Q66" s="62"/>
    </row>
    <row r="67" spans="1:17">
      <c r="A67" s="47"/>
      <c r="B67" s="38">
        <v>7</v>
      </c>
      <c r="C67" s="38">
        <f t="shared" si="19"/>
        <v>0</v>
      </c>
      <c r="D67" s="38" t="str">
        <f t="shared" si="20"/>
        <v/>
      </c>
      <c r="E67" s="38" t="str">
        <f t="shared" si="20"/>
        <v/>
      </c>
      <c r="F67" s="38" t="str">
        <f t="shared" si="21"/>
        <v/>
      </c>
      <c r="G67" s="38"/>
      <c r="H67" s="38" t="str">
        <f t="shared" si="22"/>
        <v/>
      </c>
      <c r="I67" s="38"/>
      <c r="J67" s="38"/>
      <c r="K67" s="38"/>
      <c r="L67" s="38"/>
      <c r="M67" s="38"/>
      <c r="N67" s="38">
        <v>9</v>
      </c>
      <c r="O67" s="38">
        <v>3</v>
      </c>
      <c r="P67" s="38">
        <v>6</v>
      </c>
      <c r="Q67" s="62"/>
    </row>
    <row r="68" spans="1:17">
      <c r="A68" s="47"/>
      <c r="B68" s="38">
        <v>8</v>
      </c>
      <c r="C68" s="38">
        <f t="shared" si="19"/>
        <v>0</v>
      </c>
      <c r="D68" s="38" t="str">
        <f t="shared" si="20"/>
        <v/>
      </c>
      <c r="E68" s="38" t="str">
        <f t="shared" si="20"/>
        <v/>
      </c>
      <c r="F68" s="38" t="str">
        <f t="shared" si="21"/>
        <v/>
      </c>
      <c r="G68" s="38"/>
      <c r="H68" s="38" t="str">
        <f t="shared" si="22"/>
        <v/>
      </c>
      <c r="I68" s="38"/>
      <c r="J68" s="38"/>
      <c r="K68" s="38"/>
      <c r="L68" s="38"/>
      <c r="M68" s="38"/>
      <c r="N68" s="38">
        <v>10</v>
      </c>
      <c r="O68" s="38">
        <v>5</v>
      </c>
      <c r="P68" s="38">
        <v>6</v>
      </c>
      <c r="Q68" s="62"/>
    </row>
    <row r="69" spans="1:17">
      <c r="A69" s="47"/>
      <c r="B69" s="38">
        <v>9</v>
      </c>
      <c r="C69" s="38">
        <f t="shared" si="19"/>
        <v>0</v>
      </c>
      <c r="D69" s="38" t="str">
        <f t="shared" si="20"/>
        <v/>
      </c>
      <c r="E69" s="38" t="str">
        <f t="shared" si="20"/>
        <v/>
      </c>
      <c r="F69" s="38" t="str">
        <f t="shared" si="21"/>
        <v/>
      </c>
      <c r="G69" s="38"/>
      <c r="H69" s="38" t="str">
        <f t="shared" si="22"/>
        <v/>
      </c>
      <c r="I69" s="38"/>
      <c r="J69" s="38"/>
      <c r="K69" s="38"/>
      <c r="L69" s="38"/>
      <c r="M69" s="38"/>
      <c r="N69" s="38"/>
      <c r="O69" s="38" t="s">
        <v>19</v>
      </c>
      <c r="P69" s="38" t="s">
        <v>20</v>
      </c>
      <c r="Q69" s="48"/>
    </row>
    <row r="70" spans="1:17">
      <c r="A70" s="47"/>
      <c r="B70" s="38">
        <v>10</v>
      </c>
      <c r="C70" s="38">
        <f t="shared" si="19"/>
        <v>0</v>
      </c>
      <c r="D70" s="38" t="str">
        <f t="shared" si="20"/>
        <v/>
      </c>
      <c r="E70" s="38" t="str">
        <f t="shared" si="20"/>
        <v/>
      </c>
      <c r="F70" s="38" t="str">
        <f t="shared" si="21"/>
        <v/>
      </c>
      <c r="G70" s="38"/>
      <c r="H70" s="38" t="str">
        <f t="shared" si="22"/>
        <v/>
      </c>
      <c r="I70" s="38"/>
      <c r="J70" s="38"/>
      <c r="K70" s="38" t="s">
        <v>9</v>
      </c>
      <c r="L70" s="38" t="s">
        <v>10</v>
      </c>
      <c r="M70" s="38" t="s">
        <v>23</v>
      </c>
      <c r="N70" s="38">
        <v>3</v>
      </c>
      <c r="O70" s="38">
        <v>0</v>
      </c>
      <c r="P70" s="38">
        <v>5</v>
      </c>
      <c r="Q70" s="62" t="s">
        <v>25</v>
      </c>
    </row>
    <row r="71" spans="1:17">
      <c r="A71" s="64" t="s">
        <v>42</v>
      </c>
      <c r="B71" s="38">
        <v>11</v>
      </c>
      <c r="C71" s="38">
        <f t="shared" si="19"/>
        <v>0</v>
      </c>
      <c r="D71" s="38" t="str">
        <f t="shared" si="20"/>
        <v/>
      </c>
      <c r="E71" s="38" t="str">
        <f t="shared" si="20"/>
        <v/>
      </c>
      <c r="F71" s="38" t="str">
        <f t="shared" si="21"/>
        <v/>
      </c>
      <c r="G71" s="38"/>
      <c r="H71" s="38" t="str">
        <f t="shared" si="22"/>
        <v/>
      </c>
      <c r="I71" s="38"/>
      <c r="J71" s="38"/>
      <c r="K71" s="38">
        <f>VLOOKUP($G$28,$N$70:$P$87,2)</f>
        <v>0</v>
      </c>
      <c r="L71" s="38">
        <f>VLOOKUP($G$28,$N$70:$P$87,3)</f>
        <v>5</v>
      </c>
      <c r="M71" s="38"/>
      <c r="N71" s="38">
        <v>4</v>
      </c>
      <c r="O71" s="38">
        <v>1</v>
      </c>
      <c r="P71" s="38">
        <v>5</v>
      </c>
      <c r="Q71" s="62"/>
    </row>
    <row r="72" spans="1:17">
      <c r="A72" s="64"/>
      <c r="B72" s="38">
        <v>12</v>
      </c>
      <c r="C72" s="38">
        <f t="shared" si="19"/>
        <v>0</v>
      </c>
      <c r="D72" s="38" t="str">
        <f t="shared" si="20"/>
        <v/>
      </c>
      <c r="E72" s="38" t="str">
        <f t="shared" si="20"/>
        <v/>
      </c>
      <c r="F72" s="38" t="str">
        <f t="shared" si="21"/>
        <v/>
      </c>
      <c r="G72" s="38"/>
      <c r="H72" s="38" t="str">
        <f t="shared" si="22"/>
        <v/>
      </c>
      <c r="I72" s="38"/>
      <c r="J72" s="38"/>
      <c r="K72" s="40" t="str">
        <f>IF((SUM(H61:H76))&lt;=$K$71,"PASS","")</f>
        <v>PASS</v>
      </c>
      <c r="L72" s="41" t="str">
        <f>IF((SUM(H61:H76))&gt;=$L$71,"FAIL","")</f>
        <v/>
      </c>
      <c r="M72" s="42" t="str">
        <f>IF(AND((SUM(H61:H76))&lt;$L$71,SUM(H61:H76)&gt;$K$71),"ONE MORE VEHICLE","")</f>
        <v/>
      </c>
      <c r="N72" s="38">
        <v>5</v>
      </c>
      <c r="O72" s="38">
        <v>1</v>
      </c>
      <c r="P72" s="38">
        <v>5</v>
      </c>
      <c r="Q72" s="62"/>
    </row>
    <row r="73" spans="1:17">
      <c r="A73" s="64"/>
      <c r="B73" s="38">
        <v>13</v>
      </c>
      <c r="C73" s="38">
        <f t="shared" si="19"/>
        <v>0</v>
      </c>
      <c r="D73" s="38" t="str">
        <f t="shared" si="20"/>
        <v/>
      </c>
      <c r="E73" s="38" t="str">
        <f t="shared" si="20"/>
        <v/>
      </c>
      <c r="F73" s="38" t="str">
        <f t="shared" si="21"/>
        <v/>
      </c>
      <c r="G73" s="38"/>
      <c r="H73" s="38" t="str">
        <f t="shared" si="22"/>
        <v/>
      </c>
      <c r="I73" s="38"/>
      <c r="J73" s="38"/>
      <c r="K73" s="38"/>
      <c r="L73" s="38"/>
      <c r="M73" s="38"/>
      <c r="N73" s="38">
        <v>6</v>
      </c>
      <c r="O73" s="38">
        <v>2</v>
      </c>
      <c r="P73" s="38">
        <v>6</v>
      </c>
      <c r="Q73" s="62"/>
    </row>
    <row r="74" spans="1:17">
      <c r="A74" s="64"/>
      <c r="B74" s="38">
        <v>14</v>
      </c>
      <c r="C74" s="38">
        <f t="shared" si="19"/>
        <v>0</v>
      </c>
      <c r="D74" s="38" t="str">
        <f t="shared" si="20"/>
        <v/>
      </c>
      <c r="E74" s="38" t="str">
        <f t="shared" si="20"/>
        <v/>
      </c>
      <c r="F74" s="38" t="str">
        <f t="shared" si="21"/>
        <v/>
      </c>
      <c r="G74" s="38"/>
      <c r="H74" s="38" t="str">
        <f t="shared" si="22"/>
        <v/>
      </c>
      <c r="I74" s="38"/>
      <c r="J74" s="38"/>
      <c r="K74" s="38"/>
      <c r="L74" s="38"/>
      <c r="M74" s="38"/>
      <c r="N74" s="38">
        <v>7</v>
      </c>
      <c r="O74" s="38">
        <v>2</v>
      </c>
      <c r="P74" s="38">
        <v>6</v>
      </c>
      <c r="Q74" s="62"/>
    </row>
    <row r="75" spans="1:17">
      <c r="A75" s="64"/>
      <c r="B75" s="38">
        <v>15</v>
      </c>
      <c r="C75" s="38">
        <f t="shared" si="19"/>
        <v>0</v>
      </c>
      <c r="D75" s="38" t="str">
        <f t="shared" si="20"/>
        <v/>
      </c>
      <c r="E75" s="38" t="str">
        <f t="shared" si="20"/>
        <v/>
      </c>
      <c r="F75" s="38" t="str">
        <f t="shared" si="21"/>
        <v/>
      </c>
      <c r="G75" s="38"/>
      <c r="H75" s="38" t="str">
        <f t="shared" si="22"/>
        <v/>
      </c>
      <c r="I75" s="38"/>
      <c r="J75" s="38"/>
      <c r="K75" s="38"/>
      <c r="L75" s="38"/>
      <c r="M75" s="38"/>
      <c r="N75" s="38">
        <v>8</v>
      </c>
      <c r="O75" s="38">
        <v>3</v>
      </c>
      <c r="P75" s="38">
        <v>7</v>
      </c>
      <c r="Q75" s="62"/>
    </row>
    <row r="76" spans="1:17">
      <c r="A76" s="64"/>
      <c r="B76" s="38">
        <v>16</v>
      </c>
      <c r="C76" s="38">
        <f t="shared" si="19"/>
        <v>0</v>
      </c>
      <c r="D76" s="38" t="str">
        <f t="shared" si="20"/>
        <v/>
      </c>
      <c r="E76" s="38" t="str">
        <f t="shared" si="20"/>
        <v/>
      </c>
      <c r="F76" s="38" t="str">
        <f t="shared" si="21"/>
        <v/>
      </c>
      <c r="G76" s="38"/>
      <c r="H76" s="38" t="str">
        <f t="shared" si="22"/>
        <v/>
      </c>
      <c r="I76" s="38"/>
      <c r="J76" s="38"/>
      <c r="K76" s="38"/>
      <c r="L76" s="38"/>
      <c r="M76" s="38"/>
      <c r="N76" s="38">
        <v>9</v>
      </c>
      <c r="O76" s="38">
        <v>4</v>
      </c>
      <c r="P76" s="38">
        <v>8</v>
      </c>
      <c r="Q76" s="62"/>
    </row>
    <row r="77" spans="1:17">
      <c r="A77" s="64"/>
      <c r="B77" s="38">
        <v>17</v>
      </c>
      <c r="C77" s="38">
        <f t="shared" si="19"/>
        <v>0</v>
      </c>
      <c r="D77" s="38" t="str">
        <f t="shared" si="20"/>
        <v/>
      </c>
      <c r="E77" s="38" t="str">
        <f t="shared" si="20"/>
        <v/>
      </c>
      <c r="F77" s="38" t="str">
        <f t="shared" si="21"/>
        <v/>
      </c>
      <c r="G77" s="38"/>
      <c r="H77" s="38" t="str">
        <f t="shared" si="22"/>
        <v/>
      </c>
      <c r="I77" s="38"/>
      <c r="J77" s="38"/>
      <c r="K77" s="38"/>
      <c r="L77" s="38"/>
      <c r="M77" s="38"/>
      <c r="N77" s="38">
        <v>10</v>
      </c>
      <c r="O77" s="38">
        <v>4</v>
      </c>
      <c r="P77" s="38">
        <v>8</v>
      </c>
      <c r="Q77" s="62"/>
    </row>
    <row r="78" spans="1:17">
      <c r="A78" s="64"/>
      <c r="B78" s="38">
        <v>18</v>
      </c>
      <c r="C78" s="38">
        <f t="shared" si="19"/>
        <v>0</v>
      </c>
      <c r="D78" s="38" t="str">
        <f t="shared" ref="D78:E80" si="23">IF(D21="","",D21)</f>
        <v/>
      </c>
      <c r="E78" s="38" t="str">
        <f t="shared" si="23"/>
        <v/>
      </c>
      <c r="F78" s="38" t="str">
        <f t="shared" si="21"/>
        <v/>
      </c>
      <c r="G78" s="38"/>
      <c r="H78" s="38" t="str">
        <f t="shared" si="22"/>
        <v/>
      </c>
      <c r="I78" s="38"/>
      <c r="J78" s="38"/>
      <c r="K78" s="38"/>
      <c r="L78" s="38"/>
      <c r="M78" s="38"/>
      <c r="N78" s="38">
        <v>11</v>
      </c>
      <c r="O78" s="38">
        <v>5</v>
      </c>
      <c r="P78" s="38">
        <v>9</v>
      </c>
      <c r="Q78" s="62"/>
    </row>
    <row r="79" spans="1:17">
      <c r="A79" s="64"/>
      <c r="B79" s="38">
        <v>19</v>
      </c>
      <c r="C79" s="38">
        <f t="shared" si="19"/>
        <v>0</v>
      </c>
      <c r="D79" s="38" t="str">
        <f t="shared" si="23"/>
        <v/>
      </c>
      <c r="E79" s="38" t="str">
        <f t="shared" si="23"/>
        <v/>
      </c>
      <c r="F79" s="38" t="str">
        <f t="shared" si="21"/>
        <v/>
      </c>
      <c r="G79" s="38"/>
      <c r="H79" s="38" t="str">
        <f t="shared" si="22"/>
        <v/>
      </c>
      <c r="I79" s="38"/>
      <c r="J79" s="38"/>
      <c r="K79" s="38"/>
      <c r="L79" s="38"/>
      <c r="M79" s="38"/>
      <c r="N79" s="38">
        <v>12</v>
      </c>
      <c r="O79" s="38">
        <v>5</v>
      </c>
      <c r="P79" s="38">
        <v>9</v>
      </c>
      <c r="Q79" s="62"/>
    </row>
    <row r="80" spans="1:17">
      <c r="A80" s="64"/>
      <c r="B80" s="38">
        <v>20</v>
      </c>
      <c r="C80" s="38">
        <f t="shared" si="19"/>
        <v>0</v>
      </c>
      <c r="D80" s="38" t="str">
        <f t="shared" si="23"/>
        <v/>
      </c>
      <c r="E80" s="38" t="str">
        <f t="shared" si="23"/>
        <v/>
      </c>
      <c r="F80" s="38" t="str">
        <f t="shared" si="21"/>
        <v/>
      </c>
      <c r="G80" s="38"/>
      <c r="H80" s="38" t="str">
        <f t="shared" si="22"/>
        <v/>
      </c>
      <c r="I80" s="38"/>
      <c r="J80" s="38"/>
      <c r="K80" s="38"/>
      <c r="L80" s="38"/>
      <c r="M80" s="38"/>
      <c r="N80" s="38">
        <v>13</v>
      </c>
      <c r="O80" s="38">
        <v>6</v>
      </c>
      <c r="P80" s="38">
        <v>10</v>
      </c>
      <c r="Q80" s="62"/>
    </row>
    <row r="81" spans="1:17">
      <c r="A81" s="35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8">
        <v>14</v>
      </c>
      <c r="O81" s="38">
        <v>6</v>
      </c>
      <c r="P81" s="38">
        <v>11</v>
      </c>
      <c r="Q81" s="62"/>
    </row>
    <row r="82" spans="1:17">
      <c r="A82" s="35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8">
        <v>15</v>
      </c>
      <c r="O82" s="38">
        <v>7</v>
      </c>
      <c r="P82" s="38">
        <v>11</v>
      </c>
      <c r="Q82" s="62"/>
    </row>
    <row r="83" spans="1:17">
      <c r="A83" s="35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8">
        <v>16</v>
      </c>
      <c r="O83" s="38">
        <v>8</v>
      </c>
      <c r="P83" s="38">
        <v>12</v>
      </c>
      <c r="Q83" s="62"/>
    </row>
    <row r="84" spans="1:17">
      <c r="A84" s="35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8">
        <v>17</v>
      </c>
      <c r="O84" s="38">
        <v>8</v>
      </c>
      <c r="P84" s="38">
        <v>12</v>
      </c>
      <c r="Q84" s="62"/>
    </row>
    <row r="85" spans="1:17">
      <c r="A85" s="35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8">
        <v>18</v>
      </c>
      <c r="O85" s="38">
        <v>9</v>
      </c>
      <c r="P85" s="38">
        <v>13</v>
      </c>
      <c r="Q85" s="62"/>
    </row>
    <row r="86" spans="1:17">
      <c r="A86" s="35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8">
        <v>19</v>
      </c>
      <c r="O86" s="38">
        <v>9</v>
      </c>
      <c r="P86" s="38">
        <v>13</v>
      </c>
      <c r="Q86" s="62"/>
    </row>
    <row r="87" spans="1:17" ht="14.5" thickBot="1">
      <c r="A87" s="36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50">
        <v>20</v>
      </c>
      <c r="O87" s="50">
        <v>11</v>
      </c>
      <c r="P87" s="50">
        <v>12</v>
      </c>
      <c r="Q87" s="63"/>
    </row>
  </sheetData>
  <sheetProtection selectLockedCells="1"/>
  <protectedRanges>
    <protectedRange sqref="J25 J43" name="A JPN und EU COM"/>
    <protectedRange sqref="D4:E23" name="Input of Part A results and indicators"/>
  </protectedRanges>
  <mergeCells count="4">
    <mergeCell ref="G13:I14"/>
    <mergeCell ref="Q61:Q68"/>
    <mergeCell ref="Q70:Q87"/>
    <mergeCell ref="A71:A80"/>
  </mergeCells>
  <pageMargins left="0.7" right="0.7" top="0.78740157499999996" bottom="0.78740157499999996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7"/>
  <sheetViews>
    <sheetView topLeftCell="B28" zoomScale="70" zoomScaleNormal="70" workbookViewId="0">
      <selection activeCell="C30" sqref="C30"/>
    </sheetView>
  </sheetViews>
  <sheetFormatPr baseColWidth="10" defaultColWidth="11" defaultRowHeight="14" outlineLevelCol="1"/>
  <cols>
    <col min="1" max="1" width="31.5" style="1" customWidth="1"/>
    <col min="2" max="2" width="17.33203125" style="1" customWidth="1"/>
    <col min="3" max="3" width="11" style="1" customWidth="1"/>
    <col min="4" max="4" width="17" style="1" customWidth="1"/>
    <col min="5" max="5" width="15.33203125" style="1" customWidth="1"/>
    <col min="6" max="7" width="11" style="1"/>
    <col min="8" max="8" width="11.75" style="1" customWidth="1"/>
    <col min="9" max="9" width="23.33203125" style="1" customWidth="1"/>
    <col min="10" max="10" width="15.25" style="1" customWidth="1"/>
    <col min="11" max="11" width="12.83203125" style="1" customWidth="1"/>
    <col min="12" max="12" width="22" style="1" customWidth="1"/>
    <col min="13" max="13" width="20.83203125" style="1" customWidth="1"/>
    <col min="14" max="14" width="5.33203125" style="1" customWidth="1"/>
    <col min="15" max="19" width="11" style="1"/>
    <col min="20" max="25" width="11" style="1" hidden="1" customWidth="1" outlineLevel="1"/>
    <col min="26" max="26" width="11" style="1" collapsed="1"/>
    <col min="27" max="32" width="11" style="1"/>
    <col min="33" max="33" width="2.83203125" style="1" customWidth="1"/>
    <col min="34" max="16384" width="11" style="1"/>
  </cols>
  <sheetData>
    <row r="1" spans="2:12" ht="14.5" thickBot="1"/>
    <row r="2" spans="2:12" ht="14.5" thickBot="1">
      <c r="B2" s="2"/>
      <c r="C2" s="3"/>
      <c r="D2" s="24" t="s">
        <v>34</v>
      </c>
      <c r="E2" s="4" t="s">
        <v>35</v>
      </c>
    </row>
    <row r="3" spans="2:12" ht="14.5" thickBot="1">
      <c r="B3" s="25" t="s">
        <v>33</v>
      </c>
      <c r="C3" s="26"/>
      <c r="D3" s="26" t="s">
        <v>37</v>
      </c>
      <c r="E3" s="27" t="s">
        <v>36</v>
      </c>
    </row>
    <row r="4" spans="2:12">
      <c r="B4" s="5">
        <v>1</v>
      </c>
      <c r="C4" s="6">
        <f>IF(OR(D4="",E4=""),0,1)</f>
        <v>1</v>
      </c>
      <c r="D4" s="22">
        <v>85</v>
      </c>
      <c r="E4" s="23">
        <v>84</v>
      </c>
      <c r="H4" s="1" t="s">
        <v>24</v>
      </c>
      <c r="J4" s="7" t="str">
        <f>K62</f>
        <v>PASS</v>
      </c>
      <c r="K4" s="8" t="str">
        <f t="shared" ref="K4:L4" si="0">L62</f>
        <v/>
      </c>
      <c r="L4" s="9" t="str">
        <f t="shared" si="0"/>
        <v/>
      </c>
    </row>
    <row r="5" spans="2:12">
      <c r="B5" s="5">
        <v>2</v>
      </c>
      <c r="C5" s="6">
        <f t="shared" ref="C5:C23" si="1">IF(OR(D5="",E5=""),0,1)</f>
        <v>1</v>
      </c>
      <c r="D5" s="18">
        <v>85</v>
      </c>
      <c r="E5" s="19">
        <v>85</v>
      </c>
      <c r="H5" s="1" t="s">
        <v>25</v>
      </c>
      <c r="J5" s="7" t="str">
        <f>K72</f>
        <v>PASS</v>
      </c>
      <c r="K5" s="8" t="str">
        <f t="shared" ref="K5:L5" si="2">L72</f>
        <v/>
      </c>
      <c r="L5" s="9" t="str">
        <f t="shared" si="2"/>
        <v/>
      </c>
    </row>
    <row r="6" spans="2:12">
      <c r="B6" s="5">
        <v>3</v>
      </c>
      <c r="C6" s="6">
        <f t="shared" si="1"/>
        <v>1</v>
      </c>
      <c r="D6" s="18">
        <v>85</v>
      </c>
      <c r="E6" s="19">
        <v>86</v>
      </c>
      <c r="H6" s="10" t="s">
        <v>38</v>
      </c>
      <c r="J6" s="7" t="str">
        <f>K26</f>
        <v>PASS</v>
      </c>
      <c r="K6" s="8" t="str">
        <f t="shared" ref="K6" si="3">L26</f>
        <v/>
      </c>
      <c r="L6" s="9" t="str">
        <f>M26</f>
        <v/>
      </c>
    </row>
    <row r="7" spans="2:12">
      <c r="B7" s="5">
        <v>4</v>
      </c>
      <c r="C7" s="6">
        <f t="shared" si="1"/>
        <v>0</v>
      </c>
      <c r="D7" s="18"/>
      <c r="E7" s="19"/>
      <c r="H7" s="10" t="s">
        <v>39</v>
      </c>
      <c r="J7" s="7" t="str">
        <f>K44</f>
        <v>PASS</v>
      </c>
      <c r="K7" s="8" t="str">
        <f t="shared" ref="K7:L7" si="4">L44</f>
        <v/>
      </c>
      <c r="L7" s="9" t="str">
        <f t="shared" si="4"/>
        <v/>
      </c>
    </row>
    <row r="8" spans="2:12">
      <c r="B8" s="5">
        <v>5</v>
      </c>
      <c r="C8" s="6">
        <f t="shared" si="1"/>
        <v>0</v>
      </c>
      <c r="D8" s="18"/>
      <c r="E8" s="19"/>
    </row>
    <row r="9" spans="2:12">
      <c r="B9" s="5">
        <v>6</v>
      </c>
      <c r="C9" s="6">
        <f t="shared" si="1"/>
        <v>0</v>
      </c>
      <c r="D9" s="18"/>
      <c r="E9" s="19"/>
    </row>
    <row r="10" spans="2:12">
      <c r="B10" s="5">
        <v>7</v>
      </c>
      <c r="C10" s="6">
        <f t="shared" si="1"/>
        <v>0</v>
      </c>
      <c r="D10" s="18"/>
      <c r="E10" s="19"/>
    </row>
    <row r="11" spans="2:12">
      <c r="B11" s="5">
        <v>8</v>
      </c>
      <c r="C11" s="6">
        <f t="shared" si="1"/>
        <v>0</v>
      </c>
      <c r="D11" s="18"/>
      <c r="E11" s="19"/>
    </row>
    <row r="12" spans="2:12" ht="14.5" thickBot="1">
      <c r="B12" s="5">
        <v>9</v>
      </c>
      <c r="C12" s="6">
        <f t="shared" si="1"/>
        <v>0</v>
      </c>
      <c r="D12" s="18"/>
      <c r="E12" s="19"/>
    </row>
    <row r="13" spans="2:12" ht="14.5" thickBot="1">
      <c r="B13" s="5">
        <v>10</v>
      </c>
      <c r="C13" s="6">
        <f t="shared" si="1"/>
        <v>0</v>
      </c>
      <c r="D13" s="28"/>
      <c r="E13" s="29"/>
      <c r="G13" s="56" t="s">
        <v>43</v>
      </c>
      <c r="H13" s="57"/>
      <c r="I13" s="58"/>
    </row>
    <row r="14" spans="2:12" ht="14.5" thickBot="1">
      <c r="B14" s="2">
        <v>11</v>
      </c>
      <c r="C14" s="3">
        <f t="shared" si="1"/>
        <v>0</v>
      </c>
      <c r="D14" s="16"/>
      <c r="E14" s="17"/>
      <c r="G14" s="59"/>
      <c r="H14" s="60"/>
      <c r="I14" s="61"/>
    </row>
    <row r="15" spans="2:12">
      <c r="B15" s="5">
        <v>12</v>
      </c>
      <c r="C15" s="6">
        <f t="shared" si="1"/>
        <v>0</v>
      </c>
      <c r="D15" s="18"/>
      <c r="E15" s="19"/>
    </row>
    <row r="16" spans="2:12">
      <c r="B16" s="5">
        <v>13</v>
      </c>
      <c r="C16" s="6">
        <f t="shared" si="1"/>
        <v>0</v>
      </c>
      <c r="D16" s="18"/>
      <c r="E16" s="19"/>
    </row>
    <row r="17" spans="1:33">
      <c r="B17" s="5">
        <v>14</v>
      </c>
      <c r="C17" s="6">
        <f t="shared" si="1"/>
        <v>0</v>
      </c>
      <c r="D17" s="18"/>
      <c r="E17" s="19"/>
    </row>
    <row r="18" spans="1:33">
      <c r="B18" s="5">
        <v>15</v>
      </c>
      <c r="C18" s="6">
        <f t="shared" si="1"/>
        <v>0</v>
      </c>
      <c r="D18" s="18"/>
      <c r="E18" s="19"/>
    </row>
    <row r="19" spans="1:33" ht="14.5" thickBot="1">
      <c r="B19" s="15">
        <v>16</v>
      </c>
      <c r="C19" s="13">
        <f t="shared" si="1"/>
        <v>0</v>
      </c>
      <c r="D19" s="30"/>
      <c r="E19" s="31"/>
    </row>
    <row r="20" spans="1:33">
      <c r="B20" s="11">
        <v>17</v>
      </c>
      <c r="C20" s="4">
        <f t="shared" si="1"/>
        <v>0</v>
      </c>
      <c r="D20" s="32"/>
      <c r="E20" s="33"/>
    </row>
    <row r="21" spans="1:33">
      <c r="B21" s="12">
        <v>18</v>
      </c>
      <c r="C21" s="14">
        <f t="shared" si="1"/>
        <v>0</v>
      </c>
      <c r="D21" s="20"/>
      <c r="E21" s="21"/>
    </row>
    <row r="22" spans="1:33">
      <c r="B22" s="12">
        <v>19</v>
      </c>
      <c r="C22" s="14">
        <f t="shared" si="1"/>
        <v>0</v>
      </c>
      <c r="D22" s="20"/>
      <c r="E22" s="21"/>
    </row>
    <row r="23" spans="1:33" ht="14.5" thickBot="1">
      <c r="B23" s="12">
        <v>20</v>
      </c>
      <c r="C23" s="14">
        <f t="shared" si="1"/>
        <v>0</v>
      </c>
      <c r="D23" s="53"/>
      <c r="E23" s="54"/>
    </row>
    <row r="24" spans="1:33">
      <c r="A24" s="44" t="s">
        <v>29</v>
      </c>
      <c r="B24" s="45" t="s">
        <v>31</v>
      </c>
      <c r="C24" s="45"/>
      <c r="D24" s="45" t="s">
        <v>16</v>
      </c>
      <c r="E24" s="45" t="s">
        <v>17</v>
      </c>
      <c r="F24" s="45" t="s">
        <v>4</v>
      </c>
      <c r="G24" s="45" t="s">
        <v>5</v>
      </c>
      <c r="H24" s="45" t="s">
        <v>6</v>
      </c>
      <c r="I24" s="45" t="s">
        <v>7</v>
      </c>
      <c r="J24" s="45" t="s">
        <v>8</v>
      </c>
      <c r="K24" s="45" t="s">
        <v>9</v>
      </c>
      <c r="L24" s="45" t="s">
        <v>10</v>
      </c>
      <c r="M24" s="45" t="s">
        <v>11</v>
      </c>
      <c r="N24" s="45"/>
      <c r="O24" s="45"/>
      <c r="P24" s="45"/>
      <c r="Q24" s="45"/>
      <c r="R24" s="45"/>
      <c r="S24" s="45"/>
      <c r="T24" s="45"/>
      <c r="U24" s="45" t="s">
        <v>5</v>
      </c>
      <c r="V24" s="55" t="s">
        <v>7</v>
      </c>
      <c r="W24" s="55" t="s">
        <v>9</v>
      </c>
      <c r="X24" s="55" t="s">
        <v>10</v>
      </c>
      <c r="Y24" s="55" t="s">
        <v>18</v>
      </c>
      <c r="Z24" s="55"/>
      <c r="AA24" s="45"/>
      <c r="AB24" s="45"/>
      <c r="AC24" s="45"/>
      <c r="AD24" s="45"/>
      <c r="AE24" s="45"/>
      <c r="AF24" s="45"/>
      <c r="AG24" s="46"/>
    </row>
    <row r="25" spans="1:33">
      <c r="A25" s="47"/>
      <c r="B25" s="38">
        <v>1</v>
      </c>
      <c r="C25" s="38">
        <f>IF(OR(D25="",E25=""),0,1)</f>
        <v>1</v>
      </c>
      <c r="D25" s="38">
        <f>IF(D4="","",D4)</f>
        <v>85</v>
      </c>
      <c r="E25" s="38">
        <f>IF(E4="","",E4)</f>
        <v>84</v>
      </c>
      <c r="F25" s="38">
        <f>IF(C25=1,E25/D25,0)</f>
        <v>0.9882352941176471</v>
      </c>
      <c r="G25" s="38">
        <f>SUM(F25:F40)/SUM(C25:C40)</f>
        <v>1</v>
      </c>
      <c r="H25" s="38">
        <f>IF(C25=1,(F25-$G$25)^2,0)</f>
        <v>1.3840830449826891E-4</v>
      </c>
      <c r="I25" s="38">
        <f>SQRT(SUM(H25:H40)/(SUM(C25:C40)-1))</f>
        <v>1.1764705882352899E-2</v>
      </c>
      <c r="J25" s="51">
        <v>1.05</v>
      </c>
      <c r="K25" s="38">
        <f>J25-((J27+J29)*I25)</f>
        <v>1.0250117647058825</v>
      </c>
      <c r="L25" s="38">
        <f>J25+(J31-J33)*I25</f>
        <v>1.0646823529411764</v>
      </c>
      <c r="M25" s="38"/>
      <c r="N25" s="38"/>
      <c r="O25" s="38"/>
      <c r="P25" s="38"/>
      <c r="Q25" s="38"/>
      <c r="R25" s="38"/>
      <c r="S25" s="38"/>
      <c r="T25" s="38"/>
      <c r="U25" s="38">
        <f>IF(C25=1,SUM($F$25:F25)/SUM($C$25:C25),#N/A)</f>
        <v>0.9882352941176471</v>
      </c>
      <c r="V25" s="38"/>
      <c r="W25" s="38"/>
      <c r="X25" s="38"/>
      <c r="Y25" s="38">
        <f>IF(C25=1,(E25/D25),#N/A)</f>
        <v>0.9882352941176471</v>
      </c>
      <c r="Z25" s="38"/>
      <c r="AA25" s="38"/>
      <c r="AB25" s="38"/>
      <c r="AC25" s="38"/>
      <c r="AD25" s="38"/>
      <c r="AE25" s="38"/>
      <c r="AF25" s="38"/>
      <c r="AG25" s="48"/>
    </row>
    <row r="26" spans="1:33">
      <c r="A26" s="47"/>
      <c r="B26" s="38">
        <v>2</v>
      </c>
      <c r="C26" s="38">
        <f t="shared" ref="C26:C40" si="5">IF(OR(D26="",E26=""),0,1)</f>
        <v>1</v>
      </c>
      <c r="D26" s="38">
        <f t="shared" ref="D26:E40" si="6">IF(D5="","",D5)</f>
        <v>85</v>
      </c>
      <c r="E26" s="38">
        <f t="shared" si="6"/>
        <v>85</v>
      </c>
      <c r="F26" s="38">
        <f t="shared" ref="F26:F40" si="7">IF(C26=1,E26/D26,0)</f>
        <v>1</v>
      </c>
      <c r="G26" s="38"/>
      <c r="H26" s="38">
        <f t="shared" ref="H26:H40" si="8">IF(C26=1,(F26-$G$25)^2,0)</f>
        <v>0</v>
      </c>
      <c r="I26" s="38"/>
      <c r="J26" s="38" t="s">
        <v>12</v>
      </c>
      <c r="K26" s="40" t="str">
        <f>IF(G25&lt;=K25,"PASS","")</f>
        <v>PASS</v>
      </c>
      <c r="L26" s="41" t="str">
        <f>IF(G25&gt;L25,"FAIL","")</f>
        <v/>
      </c>
      <c r="M26" s="42" t="str">
        <f>IF(AND(K25&lt;G25,G25&lt;=L25),"ONE MORE VEHICLE","")</f>
        <v/>
      </c>
      <c r="N26" s="38"/>
      <c r="O26" s="38" t="s">
        <v>0</v>
      </c>
      <c r="P26" s="38" t="s">
        <v>1</v>
      </c>
      <c r="Q26" s="38" t="s">
        <v>2</v>
      </c>
      <c r="R26" s="38" t="s">
        <v>3</v>
      </c>
      <c r="S26" s="38"/>
      <c r="T26" s="38"/>
      <c r="U26" s="38">
        <f>IF(C26=1,SUM($F$25:F26)/SUM($C$25:C26),#N/A)</f>
        <v>0.99411764705882355</v>
      </c>
      <c r="V26" s="38">
        <f>IF(C26=1,STDEVA($F$25:F26),#N/A)</f>
        <v>8.3189033080770004E-3</v>
      </c>
      <c r="W26" s="38"/>
      <c r="X26" s="38"/>
      <c r="Y26" s="38">
        <f t="shared" ref="Y26:Y40" si="9">IF(C26=1,(E26/D26),#N/A)</f>
        <v>1</v>
      </c>
      <c r="Z26" s="38"/>
      <c r="AA26" s="38"/>
      <c r="AB26" s="38"/>
      <c r="AC26" s="38"/>
      <c r="AD26" s="38"/>
      <c r="AE26" s="38"/>
      <c r="AF26" s="38"/>
      <c r="AG26" s="48"/>
    </row>
    <row r="27" spans="1:33">
      <c r="A27" s="47"/>
      <c r="B27" s="38">
        <v>3</v>
      </c>
      <c r="C27" s="38">
        <f t="shared" si="5"/>
        <v>1</v>
      </c>
      <c r="D27" s="38">
        <f t="shared" si="6"/>
        <v>85</v>
      </c>
      <c r="E27" s="38">
        <f t="shared" si="6"/>
        <v>86</v>
      </c>
      <c r="F27" s="38">
        <f t="shared" si="7"/>
        <v>1.0117647058823529</v>
      </c>
      <c r="G27" s="43">
        <f>SUM(F25:F40)</f>
        <v>3</v>
      </c>
      <c r="H27" s="38">
        <f t="shared" si="8"/>
        <v>1.3840830449826891E-4</v>
      </c>
      <c r="I27" s="38"/>
      <c r="J27" s="38">
        <f>VLOOKUP($G$28,$N$27:$R$40,2,0)</f>
        <v>1.6859999999999999</v>
      </c>
      <c r="K27" s="38"/>
      <c r="L27" s="38"/>
      <c r="M27" s="38"/>
      <c r="N27" s="38">
        <v>3</v>
      </c>
      <c r="O27" s="38">
        <v>1.6859999999999999</v>
      </c>
      <c r="P27" s="38">
        <v>0.438</v>
      </c>
      <c r="Q27" s="38">
        <v>1.6859999999999999</v>
      </c>
      <c r="R27" s="38">
        <v>0.438</v>
      </c>
      <c r="S27" s="38"/>
      <c r="T27" s="38"/>
      <c r="U27" s="38">
        <f>IF(C27=1,SUM($F$25:F27)/SUM($C$25:C27),#N/A)</f>
        <v>1</v>
      </c>
      <c r="V27" s="38">
        <f>IF(C27=1,STDEVA($F$25:F27),#N/A)</f>
        <v>1.1764705882352899E-2</v>
      </c>
      <c r="W27" s="38">
        <f t="shared" ref="W27:W40" si="10">$J$25-(($O27+$P27)*$V27)</f>
        <v>1.0250117647058825</v>
      </c>
      <c r="X27" s="38">
        <f t="shared" ref="X27:X40" si="11">$J$25+($Q27-$R27)*$V27</f>
        <v>1.0646823529411764</v>
      </c>
      <c r="Y27" s="38">
        <f t="shared" si="9"/>
        <v>1.0117647058823529</v>
      </c>
      <c r="Z27" s="38"/>
      <c r="AA27" s="38"/>
      <c r="AB27" s="38"/>
      <c r="AC27" s="38"/>
      <c r="AD27" s="38"/>
      <c r="AE27" s="38"/>
      <c r="AF27" s="38"/>
      <c r="AG27" s="48"/>
    </row>
    <row r="28" spans="1:33">
      <c r="A28" s="47"/>
      <c r="B28" s="38">
        <v>4</v>
      </c>
      <c r="C28" s="38">
        <f t="shared" si="5"/>
        <v>0</v>
      </c>
      <c r="D28" s="38" t="str">
        <f t="shared" si="6"/>
        <v/>
      </c>
      <c r="E28" s="38" t="str">
        <f t="shared" si="6"/>
        <v/>
      </c>
      <c r="F28" s="38">
        <f t="shared" si="7"/>
        <v>0</v>
      </c>
      <c r="G28" s="43">
        <f>SUM(C25:C40)</f>
        <v>3</v>
      </c>
      <c r="H28" s="38">
        <f t="shared" si="8"/>
        <v>0</v>
      </c>
      <c r="I28" s="38"/>
      <c r="J28" s="38" t="s">
        <v>13</v>
      </c>
      <c r="K28" s="38"/>
      <c r="L28" s="38"/>
      <c r="M28" s="38"/>
      <c r="N28" s="38">
        <v>4</v>
      </c>
      <c r="O28" s="38">
        <v>1.125</v>
      </c>
      <c r="P28" s="38">
        <v>0.42499999999999999</v>
      </c>
      <c r="Q28" s="38">
        <v>1.177</v>
      </c>
      <c r="R28" s="38">
        <v>0.438</v>
      </c>
      <c r="S28" s="38"/>
      <c r="T28" s="38"/>
      <c r="U28" s="38" t="e">
        <f>IF(C28=1,SUM($F$25:F28)/SUM($C$25:C28),#N/A)</f>
        <v>#N/A</v>
      </c>
      <c r="V28" s="38" t="e">
        <f>IF(C28=1,STDEVA($F$25:F28),#N/A)</f>
        <v>#N/A</v>
      </c>
      <c r="W28" s="38" t="e">
        <f t="shared" si="10"/>
        <v>#N/A</v>
      </c>
      <c r="X28" s="38" t="e">
        <f t="shared" si="11"/>
        <v>#N/A</v>
      </c>
      <c r="Y28" s="38" t="e">
        <f t="shared" si="9"/>
        <v>#N/A</v>
      </c>
      <c r="Z28" s="38"/>
      <c r="AA28" s="38"/>
      <c r="AB28" s="38"/>
      <c r="AC28" s="38"/>
      <c r="AD28" s="38"/>
      <c r="AE28" s="38"/>
      <c r="AF28" s="38"/>
      <c r="AG28" s="48"/>
    </row>
    <row r="29" spans="1:33">
      <c r="A29" s="47"/>
      <c r="B29" s="38">
        <v>5</v>
      </c>
      <c r="C29" s="38">
        <f t="shared" si="5"/>
        <v>0</v>
      </c>
      <c r="D29" s="38" t="str">
        <f t="shared" si="6"/>
        <v/>
      </c>
      <c r="E29" s="38" t="str">
        <f t="shared" si="6"/>
        <v/>
      </c>
      <c r="F29" s="38">
        <f t="shared" si="7"/>
        <v>0</v>
      </c>
      <c r="G29" s="38"/>
      <c r="H29" s="38">
        <f t="shared" si="8"/>
        <v>0</v>
      </c>
      <c r="I29" s="38"/>
      <c r="J29" s="38">
        <f>VLOOKUP($G$28,$N$27:$R$40,3,0)</f>
        <v>0.438</v>
      </c>
      <c r="K29" s="38"/>
      <c r="L29" s="38"/>
      <c r="M29" s="38"/>
      <c r="N29" s="38">
        <v>5</v>
      </c>
      <c r="O29" s="38">
        <v>0.85</v>
      </c>
      <c r="P29" s="38">
        <v>0.40100000000000002</v>
      </c>
      <c r="Q29" s="38">
        <v>0.95299999999999996</v>
      </c>
      <c r="R29" s="38">
        <v>0.438</v>
      </c>
      <c r="S29" s="38"/>
      <c r="T29" s="38"/>
      <c r="U29" s="38" t="e">
        <f>IF(C29=1,SUM($F$25:F29)/SUM($C$25:C29),#N/A)</f>
        <v>#N/A</v>
      </c>
      <c r="V29" s="38" t="e">
        <f>IF(C29=1,STDEVA($F$25:F29),#N/A)</f>
        <v>#N/A</v>
      </c>
      <c r="W29" s="38" t="e">
        <f t="shared" si="10"/>
        <v>#N/A</v>
      </c>
      <c r="X29" s="38" t="e">
        <f t="shared" si="11"/>
        <v>#N/A</v>
      </c>
      <c r="Y29" s="38" t="e">
        <f t="shared" si="9"/>
        <v>#N/A</v>
      </c>
      <c r="Z29" s="38"/>
      <c r="AA29" s="38"/>
      <c r="AB29" s="38"/>
      <c r="AC29" s="38"/>
      <c r="AD29" s="38"/>
      <c r="AE29" s="38"/>
      <c r="AF29" s="38"/>
      <c r="AG29" s="48"/>
    </row>
    <row r="30" spans="1:33">
      <c r="A30" s="47"/>
      <c r="B30" s="38">
        <v>6</v>
      </c>
      <c r="C30" s="38">
        <f t="shared" si="5"/>
        <v>0</v>
      </c>
      <c r="D30" s="38" t="str">
        <f t="shared" si="6"/>
        <v/>
      </c>
      <c r="E30" s="38" t="str">
        <f t="shared" si="6"/>
        <v/>
      </c>
      <c r="F30" s="38">
        <f t="shared" si="7"/>
        <v>0</v>
      </c>
      <c r="G30" s="38"/>
      <c r="H30" s="38">
        <f t="shared" si="8"/>
        <v>0</v>
      </c>
      <c r="I30" s="38"/>
      <c r="J30" s="38" t="s">
        <v>14</v>
      </c>
      <c r="K30" s="38"/>
      <c r="L30" s="38"/>
      <c r="M30" s="38"/>
      <c r="N30" s="38">
        <v>6</v>
      </c>
      <c r="O30" s="38">
        <v>0.67300000000000004</v>
      </c>
      <c r="P30" s="38">
        <v>0.37</v>
      </c>
      <c r="Q30" s="38">
        <v>0.82299999999999995</v>
      </c>
      <c r="R30" s="38">
        <v>0.438</v>
      </c>
      <c r="S30" s="38"/>
      <c r="T30" s="38"/>
      <c r="U30" s="38" t="e">
        <f>IF(C30=1,SUM($F$25:F30)/SUM($C$25:C30),#N/A)</f>
        <v>#N/A</v>
      </c>
      <c r="V30" s="38" t="e">
        <f>IF(C30=1,STDEVA($F$25:F30),#N/A)</f>
        <v>#N/A</v>
      </c>
      <c r="W30" s="38" t="e">
        <f t="shared" si="10"/>
        <v>#N/A</v>
      </c>
      <c r="X30" s="38" t="e">
        <f t="shared" si="11"/>
        <v>#N/A</v>
      </c>
      <c r="Y30" s="38" t="e">
        <f t="shared" si="9"/>
        <v>#N/A</v>
      </c>
      <c r="Z30" s="38"/>
      <c r="AA30" s="38"/>
      <c r="AB30" s="38"/>
      <c r="AC30" s="38"/>
      <c r="AD30" s="38"/>
      <c r="AE30" s="38"/>
      <c r="AF30" s="38"/>
      <c r="AG30" s="48"/>
    </row>
    <row r="31" spans="1:33">
      <c r="A31" s="47"/>
      <c r="B31" s="38">
        <v>7</v>
      </c>
      <c r="C31" s="38">
        <f t="shared" si="5"/>
        <v>0</v>
      </c>
      <c r="D31" s="38" t="str">
        <f t="shared" si="6"/>
        <v/>
      </c>
      <c r="E31" s="38" t="str">
        <f t="shared" si="6"/>
        <v/>
      </c>
      <c r="F31" s="38">
        <f t="shared" si="7"/>
        <v>0</v>
      </c>
      <c r="G31" s="38"/>
      <c r="H31" s="38">
        <f t="shared" si="8"/>
        <v>0</v>
      </c>
      <c r="I31" s="38"/>
      <c r="J31" s="38">
        <f>VLOOKUP($G$28,$N$27:$R$40,4,0)</f>
        <v>1.6859999999999999</v>
      </c>
      <c r="K31" s="38"/>
      <c r="L31" s="38"/>
      <c r="M31" s="38"/>
      <c r="N31" s="38">
        <v>7</v>
      </c>
      <c r="O31" s="38">
        <v>0.54400000000000004</v>
      </c>
      <c r="P31" s="38">
        <v>0.33500000000000002</v>
      </c>
      <c r="Q31" s="38">
        <v>0.73399999999999999</v>
      </c>
      <c r="R31" s="38">
        <v>0.438</v>
      </c>
      <c r="S31" s="38"/>
      <c r="T31" s="38"/>
      <c r="U31" s="38" t="e">
        <f>IF(C31=1,SUM($F$25:F31)/SUM($C$25:C31),#N/A)</f>
        <v>#N/A</v>
      </c>
      <c r="V31" s="38" t="e">
        <f>IF(C31=1,STDEVA($F$25:F31),#N/A)</f>
        <v>#N/A</v>
      </c>
      <c r="W31" s="38" t="e">
        <f t="shared" si="10"/>
        <v>#N/A</v>
      </c>
      <c r="X31" s="38" t="e">
        <f t="shared" si="11"/>
        <v>#N/A</v>
      </c>
      <c r="Y31" s="38" t="e">
        <f t="shared" si="9"/>
        <v>#N/A</v>
      </c>
      <c r="Z31" s="38"/>
      <c r="AA31" s="38"/>
      <c r="AB31" s="38"/>
      <c r="AC31" s="38"/>
      <c r="AD31" s="38"/>
      <c r="AE31" s="38"/>
      <c r="AF31" s="38"/>
      <c r="AG31" s="48"/>
    </row>
    <row r="32" spans="1:33">
      <c r="A32" s="47"/>
      <c r="B32" s="38">
        <v>8</v>
      </c>
      <c r="C32" s="38">
        <f t="shared" si="5"/>
        <v>0</v>
      </c>
      <c r="D32" s="38" t="str">
        <f t="shared" si="6"/>
        <v/>
      </c>
      <c r="E32" s="38" t="str">
        <f t="shared" si="6"/>
        <v/>
      </c>
      <c r="F32" s="38">
        <f t="shared" si="7"/>
        <v>0</v>
      </c>
      <c r="G32" s="38"/>
      <c r="H32" s="38">
        <f t="shared" si="8"/>
        <v>0</v>
      </c>
      <c r="I32" s="38"/>
      <c r="J32" s="38" t="s">
        <v>15</v>
      </c>
      <c r="K32" s="38"/>
      <c r="L32" s="38"/>
      <c r="M32" s="38"/>
      <c r="N32" s="38">
        <v>8</v>
      </c>
      <c r="O32" s="38">
        <v>0.443</v>
      </c>
      <c r="P32" s="38">
        <v>0.29899999999999999</v>
      </c>
      <c r="Q32" s="38">
        <v>0.67</v>
      </c>
      <c r="R32" s="38">
        <v>0.438</v>
      </c>
      <c r="S32" s="38"/>
      <c r="T32" s="38"/>
      <c r="U32" s="38" t="e">
        <f>IF(C32=1,SUM($F$25:F32)/SUM($C$25:C32),#N/A)</f>
        <v>#N/A</v>
      </c>
      <c r="V32" s="38" t="e">
        <f>IF(C32=1,STDEVA($F$25:F32),#N/A)</f>
        <v>#N/A</v>
      </c>
      <c r="W32" s="38" t="e">
        <f t="shared" si="10"/>
        <v>#N/A</v>
      </c>
      <c r="X32" s="38" t="e">
        <f t="shared" si="11"/>
        <v>#N/A</v>
      </c>
      <c r="Y32" s="38" t="e">
        <f t="shared" si="9"/>
        <v>#N/A</v>
      </c>
      <c r="Z32" s="38"/>
      <c r="AA32" s="38"/>
      <c r="AB32" s="38"/>
      <c r="AC32" s="38"/>
      <c r="AD32" s="38"/>
      <c r="AE32" s="38"/>
      <c r="AF32" s="38"/>
      <c r="AG32" s="48"/>
    </row>
    <row r="33" spans="1:34">
      <c r="A33" s="47"/>
      <c r="B33" s="38">
        <v>9</v>
      </c>
      <c r="C33" s="38">
        <f t="shared" si="5"/>
        <v>0</v>
      </c>
      <c r="D33" s="38" t="str">
        <f t="shared" si="6"/>
        <v/>
      </c>
      <c r="E33" s="38" t="str">
        <f t="shared" si="6"/>
        <v/>
      </c>
      <c r="F33" s="38">
        <f t="shared" si="7"/>
        <v>0</v>
      </c>
      <c r="G33" s="38"/>
      <c r="H33" s="38">
        <f t="shared" si="8"/>
        <v>0</v>
      </c>
      <c r="I33" s="38"/>
      <c r="J33" s="38">
        <f>VLOOKUP($G$28,$N$27:$R$40,5,0)</f>
        <v>0.438</v>
      </c>
      <c r="K33" s="38"/>
      <c r="L33" s="38"/>
      <c r="M33" s="38"/>
      <c r="N33" s="38">
        <v>9</v>
      </c>
      <c r="O33" s="38">
        <v>0.36099999999999999</v>
      </c>
      <c r="P33" s="38">
        <v>0.26300000000000001</v>
      </c>
      <c r="Q33" s="38">
        <v>0.62</v>
      </c>
      <c r="R33" s="38">
        <v>0.438</v>
      </c>
      <c r="S33" s="38"/>
      <c r="T33" s="38"/>
      <c r="U33" s="38" t="e">
        <f>IF(C33=1,SUM($F$25:F33)/SUM($C$25:C33),#N/A)</f>
        <v>#N/A</v>
      </c>
      <c r="V33" s="38" t="e">
        <f>IF(C33=1,STDEVA($F$25:F33),#N/A)</f>
        <v>#N/A</v>
      </c>
      <c r="W33" s="38" t="e">
        <f t="shared" si="10"/>
        <v>#N/A</v>
      </c>
      <c r="X33" s="38" t="e">
        <f t="shared" si="11"/>
        <v>#N/A</v>
      </c>
      <c r="Y33" s="38" t="e">
        <f t="shared" si="9"/>
        <v>#N/A</v>
      </c>
      <c r="Z33" s="38"/>
      <c r="AA33" s="38"/>
      <c r="AB33" s="38"/>
      <c r="AC33" s="38"/>
      <c r="AD33" s="38"/>
      <c r="AE33" s="38"/>
      <c r="AF33" s="38"/>
      <c r="AG33" s="48"/>
    </row>
    <row r="34" spans="1:34">
      <c r="A34" s="47"/>
      <c r="B34" s="38">
        <v>10</v>
      </c>
      <c r="C34" s="38">
        <f t="shared" si="5"/>
        <v>0</v>
      </c>
      <c r="D34" s="38" t="str">
        <f t="shared" si="6"/>
        <v/>
      </c>
      <c r="E34" s="38" t="str">
        <f t="shared" si="6"/>
        <v/>
      </c>
      <c r="F34" s="38">
        <f t="shared" si="7"/>
        <v>0</v>
      </c>
      <c r="G34" s="38"/>
      <c r="H34" s="38">
        <f t="shared" si="8"/>
        <v>0</v>
      </c>
      <c r="I34" s="38"/>
      <c r="J34" s="38"/>
      <c r="K34" s="38"/>
      <c r="L34" s="38"/>
      <c r="M34" s="38"/>
      <c r="N34" s="38">
        <v>10</v>
      </c>
      <c r="O34" s="38">
        <v>0.29199999999999998</v>
      </c>
      <c r="P34" s="38">
        <v>0.22600000000000001</v>
      </c>
      <c r="Q34" s="38">
        <v>0.57999999999999996</v>
      </c>
      <c r="R34" s="38">
        <v>0.438</v>
      </c>
      <c r="S34" s="38"/>
      <c r="T34" s="38"/>
      <c r="U34" s="38" t="e">
        <f>IF(C34=1,SUM($F$25:F34)/SUM($C$25:C34),#N/A)</f>
        <v>#N/A</v>
      </c>
      <c r="V34" s="38" t="e">
        <f>IF(C34=1,STDEVA($F$25:F34),#N/A)</f>
        <v>#N/A</v>
      </c>
      <c r="W34" s="38" t="e">
        <f t="shared" si="10"/>
        <v>#N/A</v>
      </c>
      <c r="X34" s="38" t="e">
        <f t="shared" si="11"/>
        <v>#N/A</v>
      </c>
      <c r="Y34" s="38" t="e">
        <f t="shared" si="9"/>
        <v>#N/A</v>
      </c>
      <c r="Z34" s="38"/>
      <c r="AA34" s="38"/>
      <c r="AB34" s="38"/>
      <c r="AC34" s="38"/>
      <c r="AD34" s="38"/>
      <c r="AE34" s="38"/>
      <c r="AF34" s="38"/>
      <c r="AG34" s="48"/>
      <c r="AH34" s="1" t="s">
        <v>40</v>
      </c>
    </row>
    <row r="35" spans="1:34">
      <c r="A35" s="47"/>
      <c r="B35" s="38">
        <v>11</v>
      </c>
      <c r="C35" s="38">
        <f t="shared" si="5"/>
        <v>0</v>
      </c>
      <c r="D35" s="38" t="str">
        <f t="shared" si="6"/>
        <v/>
      </c>
      <c r="E35" s="38" t="str">
        <f t="shared" si="6"/>
        <v/>
      </c>
      <c r="F35" s="38">
        <f t="shared" si="7"/>
        <v>0</v>
      </c>
      <c r="G35" s="38"/>
      <c r="H35" s="38">
        <f t="shared" si="8"/>
        <v>0</v>
      </c>
      <c r="I35" s="38"/>
      <c r="J35" s="38"/>
      <c r="K35" s="38"/>
      <c r="L35" s="38"/>
      <c r="M35" s="38"/>
      <c r="N35" s="38">
        <v>11</v>
      </c>
      <c r="O35" s="38">
        <v>0.23200000000000001</v>
      </c>
      <c r="P35" s="38">
        <v>0.19</v>
      </c>
      <c r="Q35" s="38">
        <v>0.54600000000000004</v>
      </c>
      <c r="R35" s="38">
        <v>0.438</v>
      </c>
      <c r="S35" s="38"/>
      <c r="T35" s="38"/>
      <c r="U35" s="38" t="e">
        <f>IF(C35=1,SUM($F$25:F35)/SUM($C$25:C35),#N/A)</f>
        <v>#N/A</v>
      </c>
      <c r="V35" s="38" t="e">
        <f>IF(C35=1,STDEVA($F$25:F35),#N/A)</f>
        <v>#N/A</v>
      </c>
      <c r="W35" s="38" t="e">
        <f t="shared" si="10"/>
        <v>#N/A</v>
      </c>
      <c r="X35" s="38" t="e">
        <f t="shared" si="11"/>
        <v>#N/A</v>
      </c>
      <c r="Y35" s="38" t="e">
        <f t="shared" si="9"/>
        <v>#N/A</v>
      </c>
      <c r="Z35" s="38"/>
      <c r="AA35" s="38"/>
      <c r="AB35" s="38"/>
      <c r="AC35" s="38"/>
      <c r="AD35" s="38"/>
      <c r="AE35" s="38"/>
      <c r="AF35" s="38"/>
      <c r="AG35" s="48"/>
      <c r="AH35" s="1" t="s">
        <v>41</v>
      </c>
    </row>
    <row r="36" spans="1:34">
      <c r="A36" s="47"/>
      <c r="B36" s="38">
        <v>12</v>
      </c>
      <c r="C36" s="38">
        <f t="shared" si="5"/>
        <v>0</v>
      </c>
      <c r="D36" s="38" t="str">
        <f t="shared" si="6"/>
        <v/>
      </c>
      <c r="E36" s="38" t="str">
        <f t="shared" si="6"/>
        <v/>
      </c>
      <c r="F36" s="38">
        <f t="shared" si="7"/>
        <v>0</v>
      </c>
      <c r="G36" s="38"/>
      <c r="H36" s="38">
        <f t="shared" si="8"/>
        <v>0</v>
      </c>
      <c r="I36" s="38"/>
      <c r="J36" s="38"/>
      <c r="K36" s="38"/>
      <c r="L36" s="38"/>
      <c r="M36" s="38"/>
      <c r="N36" s="38">
        <v>12</v>
      </c>
      <c r="O36" s="38">
        <v>0.17799999999999999</v>
      </c>
      <c r="P36" s="38">
        <v>0.153</v>
      </c>
      <c r="Q36" s="38">
        <v>0.51800000000000002</v>
      </c>
      <c r="R36" s="38">
        <v>0.438</v>
      </c>
      <c r="S36" s="38"/>
      <c r="T36" s="38"/>
      <c r="U36" s="38" t="e">
        <f>IF(C36=1,SUM($F$25:F36)/SUM($C$25:C36),#N/A)</f>
        <v>#N/A</v>
      </c>
      <c r="V36" s="38" t="e">
        <f>IF(C36=1,STDEVA($F$25:F36),#N/A)</f>
        <v>#N/A</v>
      </c>
      <c r="W36" s="38" t="e">
        <f t="shared" si="10"/>
        <v>#N/A</v>
      </c>
      <c r="X36" s="38" t="e">
        <f t="shared" si="11"/>
        <v>#N/A</v>
      </c>
      <c r="Y36" s="38" t="e">
        <f t="shared" si="9"/>
        <v>#N/A</v>
      </c>
      <c r="Z36" s="38"/>
      <c r="AA36" s="38"/>
      <c r="AB36" s="38"/>
      <c r="AC36" s="38"/>
      <c r="AD36" s="38"/>
      <c r="AE36" s="38"/>
      <c r="AF36" s="38"/>
      <c r="AG36" s="48"/>
    </row>
    <row r="37" spans="1:34">
      <c r="A37" s="47"/>
      <c r="B37" s="38">
        <v>13</v>
      </c>
      <c r="C37" s="38">
        <f t="shared" si="5"/>
        <v>0</v>
      </c>
      <c r="D37" s="38" t="str">
        <f t="shared" si="6"/>
        <v/>
      </c>
      <c r="E37" s="38" t="str">
        <f t="shared" si="6"/>
        <v/>
      </c>
      <c r="F37" s="38">
        <f t="shared" si="7"/>
        <v>0</v>
      </c>
      <c r="G37" s="38"/>
      <c r="H37" s="38">
        <f t="shared" si="8"/>
        <v>0</v>
      </c>
      <c r="I37" s="38"/>
      <c r="J37" s="38"/>
      <c r="K37" s="38"/>
      <c r="L37" s="38"/>
      <c r="M37" s="38"/>
      <c r="N37" s="38">
        <v>13</v>
      </c>
      <c r="O37" s="38">
        <v>0.129</v>
      </c>
      <c r="P37" s="38">
        <v>0.11600000000000001</v>
      </c>
      <c r="Q37" s="38">
        <v>0.49399999999999999</v>
      </c>
      <c r="R37" s="38">
        <v>0.438</v>
      </c>
      <c r="S37" s="38"/>
      <c r="T37" s="38"/>
      <c r="U37" s="38" t="e">
        <f>IF(C37=1,SUM($F$25:F37)/SUM($C$25:C37),#N/A)</f>
        <v>#N/A</v>
      </c>
      <c r="V37" s="38" t="e">
        <f>IF(C37=1,STDEVA($F$25:F37),#N/A)</f>
        <v>#N/A</v>
      </c>
      <c r="W37" s="38" t="e">
        <f t="shared" si="10"/>
        <v>#N/A</v>
      </c>
      <c r="X37" s="38" t="e">
        <f t="shared" si="11"/>
        <v>#N/A</v>
      </c>
      <c r="Y37" s="38" t="e">
        <f t="shared" si="9"/>
        <v>#N/A</v>
      </c>
      <c r="Z37" s="38"/>
      <c r="AA37" s="38"/>
      <c r="AB37" s="38"/>
      <c r="AC37" s="38"/>
      <c r="AD37" s="38"/>
      <c r="AE37" s="38"/>
      <c r="AF37" s="38"/>
      <c r="AG37" s="48"/>
    </row>
    <row r="38" spans="1:34">
      <c r="A38" s="47"/>
      <c r="B38" s="38">
        <v>14</v>
      </c>
      <c r="C38" s="38">
        <f t="shared" si="5"/>
        <v>0</v>
      </c>
      <c r="D38" s="38" t="str">
        <f t="shared" si="6"/>
        <v/>
      </c>
      <c r="E38" s="38" t="str">
        <f t="shared" si="6"/>
        <v/>
      </c>
      <c r="F38" s="38">
        <f t="shared" si="7"/>
        <v>0</v>
      </c>
      <c r="G38" s="38"/>
      <c r="H38" s="38">
        <f t="shared" si="8"/>
        <v>0</v>
      </c>
      <c r="I38" s="38"/>
      <c r="J38" s="38"/>
      <c r="K38" s="38"/>
      <c r="L38" s="38"/>
      <c r="M38" s="38"/>
      <c r="N38" s="38">
        <v>14</v>
      </c>
      <c r="O38" s="38">
        <v>8.3000000000000004E-2</v>
      </c>
      <c r="P38" s="38">
        <v>7.8E-2</v>
      </c>
      <c r="Q38" s="38">
        <v>0.47299999999999998</v>
      </c>
      <c r="R38" s="38">
        <v>0.438</v>
      </c>
      <c r="S38" s="38"/>
      <c r="T38" s="38"/>
      <c r="U38" s="38" t="e">
        <f>IF(C38=1,SUM($F$25:F38)/SUM($C$25:C38),#N/A)</f>
        <v>#N/A</v>
      </c>
      <c r="V38" s="38" t="e">
        <f>IF(C38=1,STDEVA($F$25:F38),#N/A)</f>
        <v>#N/A</v>
      </c>
      <c r="W38" s="38" t="e">
        <f t="shared" si="10"/>
        <v>#N/A</v>
      </c>
      <c r="X38" s="38" t="e">
        <f t="shared" si="11"/>
        <v>#N/A</v>
      </c>
      <c r="Y38" s="38" t="e">
        <f t="shared" si="9"/>
        <v>#N/A</v>
      </c>
      <c r="Z38" s="38"/>
      <c r="AA38" s="38"/>
      <c r="AB38" s="38"/>
      <c r="AC38" s="38"/>
      <c r="AD38" s="38"/>
      <c r="AE38" s="38"/>
      <c r="AF38" s="38"/>
      <c r="AG38" s="48"/>
    </row>
    <row r="39" spans="1:34">
      <c r="A39" s="47"/>
      <c r="B39" s="38">
        <v>15</v>
      </c>
      <c r="C39" s="38">
        <f t="shared" si="5"/>
        <v>0</v>
      </c>
      <c r="D39" s="38" t="str">
        <f t="shared" si="6"/>
        <v/>
      </c>
      <c r="E39" s="38" t="str">
        <f t="shared" si="6"/>
        <v/>
      </c>
      <c r="F39" s="38">
        <f t="shared" si="7"/>
        <v>0</v>
      </c>
      <c r="G39" s="38"/>
      <c r="H39" s="38">
        <f t="shared" si="8"/>
        <v>0</v>
      </c>
      <c r="I39" s="38"/>
      <c r="J39" s="38"/>
      <c r="K39" s="38"/>
      <c r="L39" s="38"/>
      <c r="M39" s="38"/>
      <c r="N39" s="38">
        <v>15</v>
      </c>
      <c r="O39" s="38">
        <v>0.04</v>
      </c>
      <c r="P39" s="38">
        <v>3.7999999999999999E-2</v>
      </c>
      <c r="Q39" s="38">
        <v>0.45500000000000002</v>
      </c>
      <c r="R39" s="38">
        <v>0.438</v>
      </c>
      <c r="S39" s="38"/>
      <c r="T39" s="38"/>
      <c r="U39" s="38" t="e">
        <f>IF(C39=1,SUM($F$25:F39)/SUM($C$25:C39),#N/A)</f>
        <v>#N/A</v>
      </c>
      <c r="V39" s="38" t="e">
        <f>IF(C39=1,STDEVA($F$25:F39),#N/A)</f>
        <v>#N/A</v>
      </c>
      <c r="W39" s="38" t="e">
        <f t="shared" si="10"/>
        <v>#N/A</v>
      </c>
      <c r="X39" s="38" t="e">
        <f t="shared" si="11"/>
        <v>#N/A</v>
      </c>
      <c r="Y39" s="38" t="e">
        <f t="shared" si="9"/>
        <v>#N/A</v>
      </c>
      <c r="Z39" s="38"/>
      <c r="AA39" s="38"/>
      <c r="AB39" s="38"/>
      <c r="AC39" s="38"/>
      <c r="AD39" s="38"/>
      <c r="AE39" s="38"/>
      <c r="AF39" s="38"/>
      <c r="AG39" s="48"/>
    </row>
    <row r="40" spans="1:34" ht="14.5" thickBot="1">
      <c r="A40" s="49"/>
      <c r="B40" s="50">
        <v>16</v>
      </c>
      <c r="C40" s="50">
        <f t="shared" si="5"/>
        <v>0</v>
      </c>
      <c r="D40" s="50" t="str">
        <f t="shared" si="6"/>
        <v/>
      </c>
      <c r="E40" s="50" t="str">
        <f t="shared" si="6"/>
        <v/>
      </c>
      <c r="F40" s="50">
        <f t="shared" si="7"/>
        <v>0</v>
      </c>
      <c r="G40" s="50"/>
      <c r="H40" s="50">
        <f t="shared" si="8"/>
        <v>0</v>
      </c>
      <c r="I40" s="50"/>
      <c r="J40" s="50"/>
      <c r="K40" s="50"/>
      <c r="L40" s="50"/>
      <c r="M40" s="50"/>
      <c r="N40" s="50">
        <v>16</v>
      </c>
      <c r="O40" s="50">
        <v>0</v>
      </c>
      <c r="P40" s="50">
        <v>0</v>
      </c>
      <c r="Q40" s="50">
        <v>0.438</v>
      </c>
      <c r="R40" s="50">
        <v>0.438</v>
      </c>
      <c r="S40" s="50"/>
      <c r="T40" s="50"/>
      <c r="U40" s="50" t="e">
        <f>IF(C40=1,SUM($F$25:F40)/SUM($C$25:C40),#N/A)</f>
        <v>#N/A</v>
      </c>
      <c r="V40" s="50" t="e">
        <f>IF(C40=1,STDEVA($F$25:F40),#N/A)</f>
        <v>#N/A</v>
      </c>
      <c r="W40" s="50" t="e">
        <f t="shared" si="10"/>
        <v>#N/A</v>
      </c>
      <c r="X40" s="50" t="e">
        <f t="shared" si="11"/>
        <v>#N/A</v>
      </c>
      <c r="Y40" s="50" t="e">
        <f t="shared" si="9"/>
        <v>#N/A</v>
      </c>
      <c r="Z40" s="50"/>
      <c r="AA40" s="50"/>
      <c r="AB40" s="50"/>
      <c r="AC40" s="50"/>
      <c r="AD40" s="50"/>
      <c r="AE40" s="50"/>
      <c r="AF40" s="50"/>
      <c r="AG40" s="52"/>
    </row>
    <row r="41" spans="1:34" ht="22.5" customHeight="1" thickBot="1"/>
    <row r="42" spans="1:34">
      <c r="A42" s="44" t="s">
        <v>30</v>
      </c>
      <c r="B42" s="45"/>
      <c r="C42" s="45"/>
      <c r="D42" s="45" t="s">
        <v>16</v>
      </c>
      <c r="E42" s="45" t="s">
        <v>17</v>
      </c>
      <c r="F42" s="45" t="s">
        <v>4</v>
      </c>
      <c r="G42" s="45" t="s">
        <v>5</v>
      </c>
      <c r="H42" s="45" t="s">
        <v>6</v>
      </c>
      <c r="I42" s="45" t="s">
        <v>7</v>
      </c>
      <c r="J42" s="45" t="s">
        <v>26</v>
      </c>
      <c r="K42" s="45" t="s">
        <v>9</v>
      </c>
      <c r="L42" s="45" t="s">
        <v>10</v>
      </c>
      <c r="M42" s="45" t="s">
        <v>11</v>
      </c>
      <c r="N42" s="45"/>
      <c r="O42" s="45" t="s">
        <v>0</v>
      </c>
      <c r="P42" s="45" t="s">
        <v>1</v>
      </c>
      <c r="Q42" s="45" t="s">
        <v>2</v>
      </c>
      <c r="R42" s="45" t="s">
        <v>3</v>
      </c>
      <c r="S42" s="45"/>
      <c r="T42" s="45"/>
      <c r="U42" s="45" t="s">
        <v>5</v>
      </c>
      <c r="V42" s="45" t="s">
        <v>7</v>
      </c>
      <c r="W42" s="45" t="s">
        <v>9</v>
      </c>
      <c r="X42" s="45" t="s">
        <v>10</v>
      </c>
      <c r="Y42" s="45" t="s">
        <v>18</v>
      </c>
      <c r="Z42" s="45"/>
      <c r="AA42" s="45"/>
      <c r="AB42" s="45"/>
      <c r="AC42" s="45"/>
      <c r="AD42" s="45"/>
      <c r="AE42" s="45"/>
      <c r="AF42" s="45"/>
      <c r="AG42" s="46"/>
    </row>
    <row r="43" spans="1:34">
      <c r="A43" s="47"/>
      <c r="B43" s="38">
        <v>1</v>
      </c>
      <c r="C43" s="38">
        <f t="shared" ref="C43:C48" si="12">IF(OR(D43="",E43=""),0,1)</f>
        <v>1</v>
      </c>
      <c r="D43" s="38">
        <f>IF(D4="","",D4)</f>
        <v>85</v>
      </c>
      <c r="E43" s="38">
        <f>IF(E4="","",E4)</f>
        <v>84</v>
      </c>
      <c r="F43" s="38">
        <f>IF(C43=1,E43-D43,0)</f>
        <v>-1</v>
      </c>
      <c r="G43" s="38">
        <f>SUM(F43:F58)/SUM(C43:C58)</f>
        <v>0</v>
      </c>
      <c r="H43" s="38">
        <f>IF(C43=1,(F43-$G$43)^2,0)</f>
        <v>1</v>
      </c>
      <c r="I43" s="38">
        <f>SQRT(SUM(H43:H58)/(SUM(C43:C58)-1))</f>
        <v>1</v>
      </c>
      <c r="J43" s="51">
        <v>5</v>
      </c>
      <c r="K43" s="38">
        <f>J43-((J45+J47)*I43)</f>
        <v>2.8759999999999999</v>
      </c>
      <c r="L43" s="38">
        <f>J43+(J49-J51)*I43</f>
        <v>6.2480000000000002</v>
      </c>
      <c r="M43" s="38"/>
      <c r="N43" s="38">
        <v>3</v>
      </c>
      <c r="O43" s="38">
        <v>1.6859999999999999</v>
      </c>
      <c r="P43" s="38">
        <v>0.438</v>
      </c>
      <c r="Q43" s="38">
        <v>1.6859999999999999</v>
      </c>
      <c r="R43" s="38">
        <v>0.438</v>
      </c>
      <c r="S43" s="38"/>
      <c r="T43" s="38"/>
      <c r="U43" s="38">
        <f>IF(C43=1,SUM($F$43:F43)/SUM($C$43:C43),#N/A)</f>
        <v>-1</v>
      </c>
      <c r="V43" s="38"/>
      <c r="W43" s="38"/>
      <c r="X43" s="38"/>
      <c r="Y43" s="38">
        <f>IF(C43=1,(E43-D43),#N/A)</f>
        <v>-1</v>
      </c>
      <c r="Z43" s="38"/>
      <c r="AA43" s="38"/>
      <c r="AB43" s="38"/>
      <c r="AC43" s="38"/>
      <c r="AD43" s="38"/>
      <c r="AE43" s="38"/>
      <c r="AF43" s="38"/>
      <c r="AG43" s="48"/>
    </row>
    <row r="44" spans="1:34">
      <c r="A44" s="47"/>
      <c r="B44" s="38">
        <v>2</v>
      </c>
      <c r="C44" s="38">
        <f t="shared" si="12"/>
        <v>1</v>
      </c>
      <c r="D44" s="38">
        <f t="shared" ref="D44:E58" si="13">IF(D5="","",D5)</f>
        <v>85</v>
      </c>
      <c r="E44" s="38">
        <f t="shared" si="13"/>
        <v>85</v>
      </c>
      <c r="F44" s="38">
        <f t="shared" ref="F44:F58" si="14">IF(C44=1,E44-D44,0)</f>
        <v>0</v>
      </c>
      <c r="G44" s="38"/>
      <c r="H44" s="38">
        <f>IF(C44=1,(F44-$G$43)^2,0)</f>
        <v>0</v>
      </c>
      <c r="I44" s="38"/>
      <c r="J44" s="38" t="s">
        <v>12</v>
      </c>
      <c r="K44" s="40" t="str">
        <f>IF(G43&lt;=K43,"PASS","")</f>
        <v>PASS</v>
      </c>
      <c r="L44" s="41" t="str">
        <f>IF(G43&gt;L43,"FAIL","")</f>
        <v/>
      </c>
      <c r="M44" s="42" t="str">
        <f>IF(AND(K43&lt;G43,G43&lt;=L43),"ONE MORE VEHICLE","")</f>
        <v/>
      </c>
      <c r="N44" s="38">
        <v>4</v>
      </c>
      <c r="O44" s="38">
        <v>1.125</v>
      </c>
      <c r="P44" s="38">
        <v>0.42499999999999999</v>
      </c>
      <c r="Q44" s="38">
        <v>1.177</v>
      </c>
      <c r="R44" s="38">
        <v>0.438</v>
      </c>
      <c r="S44" s="38"/>
      <c r="T44" s="38"/>
      <c r="U44" s="38">
        <f>IF(C44=1,SUM($F$43:F44)/SUM($C$43:C44),#N/A)</f>
        <v>-0.5</v>
      </c>
      <c r="V44" s="38">
        <f>IF(C44=1,STDEVA($F$43:F44),#N/A)</f>
        <v>0.70710678118654757</v>
      </c>
      <c r="W44" s="38"/>
      <c r="X44" s="38"/>
      <c r="Y44" s="38">
        <f t="shared" ref="Y44:Y58" si="15">IF(C44=1,(E44-D44),#N/A)</f>
        <v>0</v>
      </c>
      <c r="Z44" s="38"/>
      <c r="AA44" s="38"/>
      <c r="AB44" s="38"/>
      <c r="AC44" s="38"/>
      <c r="AD44" s="38"/>
      <c r="AE44" s="38"/>
      <c r="AF44" s="38"/>
      <c r="AG44" s="48"/>
    </row>
    <row r="45" spans="1:34">
      <c r="A45" s="47"/>
      <c r="B45" s="38">
        <v>3</v>
      </c>
      <c r="C45" s="38">
        <f t="shared" si="12"/>
        <v>1</v>
      </c>
      <c r="D45" s="38">
        <f t="shared" si="13"/>
        <v>85</v>
      </c>
      <c r="E45" s="38">
        <f t="shared" si="13"/>
        <v>86</v>
      </c>
      <c r="F45" s="38">
        <f t="shared" si="14"/>
        <v>1</v>
      </c>
      <c r="G45" s="43">
        <f>SUM(F43:F58)</f>
        <v>0</v>
      </c>
      <c r="H45" s="38">
        <f>IF(C45=1,(F45-$G$43)^2,0)</f>
        <v>1</v>
      </c>
      <c r="I45" s="38"/>
      <c r="J45" s="38">
        <f>VLOOKUP($G$46,$N$43:$R$56,2,0)</f>
        <v>1.6859999999999999</v>
      </c>
      <c r="K45" s="38"/>
      <c r="L45" s="38"/>
      <c r="M45" s="38"/>
      <c r="N45" s="38">
        <v>5</v>
      </c>
      <c r="O45" s="38">
        <v>0.85</v>
      </c>
      <c r="P45" s="38">
        <v>0.40100000000000002</v>
      </c>
      <c r="Q45" s="38">
        <v>0.95299999999999996</v>
      </c>
      <c r="R45" s="38">
        <v>0.438</v>
      </c>
      <c r="S45" s="38"/>
      <c r="T45" s="38"/>
      <c r="U45" s="38">
        <f>IF(C45=1,SUM($F$43:F45)/SUM($C$43:C45),#N/A)</f>
        <v>0</v>
      </c>
      <c r="V45" s="38">
        <f>IF(C45=1,STDEVA($F$43:F45),#N/A)</f>
        <v>1</v>
      </c>
      <c r="W45" s="38">
        <f t="shared" ref="W45:W58" si="16">$J$43-(($O43+$P43)*$V45)</f>
        <v>2.8759999999999999</v>
      </c>
      <c r="X45" s="38">
        <f t="shared" ref="X45:X58" si="17">$J$43+($Q27-$R27)*$V45</f>
        <v>6.2480000000000002</v>
      </c>
      <c r="Y45" s="38">
        <f t="shared" si="15"/>
        <v>1</v>
      </c>
      <c r="Z45" s="38"/>
      <c r="AA45" s="38"/>
      <c r="AB45" s="38"/>
      <c r="AC45" s="38"/>
      <c r="AD45" s="38"/>
      <c r="AE45" s="38"/>
      <c r="AF45" s="38"/>
      <c r="AG45" s="48"/>
    </row>
    <row r="46" spans="1:34">
      <c r="A46" s="47"/>
      <c r="B46" s="38">
        <v>4</v>
      </c>
      <c r="C46" s="38">
        <f t="shared" si="12"/>
        <v>0</v>
      </c>
      <c r="D46" s="38" t="str">
        <f t="shared" si="13"/>
        <v/>
      </c>
      <c r="E46" s="38" t="str">
        <f t="shared" si="13"/>
        <v/>
      </c>
      <c r="F46" s="38">
        <f t="shared" si="14"/>
        <v>0</v>
      </c>
      <c r="G46" s="43">
        <f>SUM(C43:C58)</f>
        <v>3</v>
      </c>
      <c r="H46" s="38">
        <f>IF(C46=1,(F46-$G$43)^2,0)</f>
        <v>0</v>
      </c>
      <c r="I46" s="38"/>
      <c r="J46" s="38" t="s">
        <v>13</v>
      </c>
      <c r="K46" s="38"/>
      <c r="L46" s="38"/>
      <c r="M46" s="38"/>
      <c r="N46" s="38">
        <v>6</v>
      </c>
      <c r="O46" s="38">
        <v>0.67300000000000004</v>
      </c>
      <c r="P46" s="38">
        <v>0.37</v>
      </c>
      <c r="Q46" s="38">
        <v>0.82299999999999995</v>
      </c>
      <c r="R46" s="38">
        <v>0.438</v>
      </c>
      <c r="S46" s="38"/>
      <c r="T46" s="38"/>
      <c r="U46" s="38" t="e">
        <f>IF(C46=1,SUM($F$43:F46)/SUM($C$43:C46),#N/A)</f>
        <v>#N/A</v>
      </c>
      <c r="V46" s="38" t="e">
        <f>IF(C46=1,STDEVA($F$43:F46),#N/A)</f>
        <v>#N/A</v>
      </c>
      <c r="W46" s="38" t="e">
        <f t="shared" si="16"/>
        <v>#N/A</v>
      </c>
      <c r="X46" s="38" t="e">
        <f t="shared" si="17"/>
        <v>#N/A</v>
      </c>
      <c r="Y46" s="38" t="e">
        <f t="shared" si="15"/>
        <v>#N/A</v>
      </c>
      <c r="Z46" s="38"/>
      <c r="AA46" s="38"/>
      <c r="AB46" s="38"/>
      <c r="AC46" s="38"/>
      <c r="AD46" s="38"/>
      <c r="AE46" s="38"/>
      <c r="AF46" s="38"/>
      <c r="AG46" s="48"/>
    </row>
    <row r="47" spans="1:34">
      <c r="A47" s="47"/>
      <c r="B47" s="38">
        <v>5</v>
      </c>
      <c r="C47" s="38">
        <f t="shared" si="12"/>
        <v>0</v>
      </c>
      <c r="D47" s="38" t="str">
        <f t="shared" si="13"/>
        <v/>
      </c>
      <c r="E47" s="38" t="str">
        <f t="shared" si="13"/>
        <v/>
      </c>
      <c r="F47" s="38">
        <f t="shared" si="14"/>
        <v>0</v>
      </c>
      <c r="G47" s="38"/>
      <c r="H47" s="38">
        <f t="shared" ref="H47:H58" si="18">IF(C47=1,(F47-$G$43)^2,0)</f>
        <v>0</v>
      </c>
      <c r="I47" s="38"/>
      <c r="J47" s="38">
        <f>VLOOKUP($G$46,$N$43:$R$56,3,0)</f>
        <v>0.438</v>
      </c>
      <c r="K47" s="38"/>
      <c r="L47" s="38"/>
      <c r="M47" s="38"/>
      <c r="N47" s="38">
        <v>7</v>
      </c>
      <c r="O47" s="38">
        <v>0.54400000000000004</v>
      </c>
      <c r="P47" s="38">
        <v>0.33500000000000002</v>
      </c>
      <c r="Q47" s="38">
        <v>0.73399999999999999</v>
      </c>
      <c r="R47" s="38">
        <v>0.438</v>
      </c>
      <c r="S47" s="38"/>
      <c r="T47" s="38"/>
      <c r="U47" s="38" t="e">
        <f>IF(C47=1,SUM($F$43:F47)/SUM($C$43:C47),#N/A)</f>
        <v>#N/A</v>
      </c>
      <c r="V47" s="38" t="e">
        <f>IF(C47=1,STDEVA($F$43:F47),#N/A)</f>
        <v>#N/A</v>
      </c>
      <c r="W47" s="38" t="e">
        <f t="shared" si="16"/>
        <v>#N/A</v>
      </c>
      <c r="X47" s="38" t="e">
        <f t="shared" si="17"/>
        <v>#N/A</v>
      </c>
      <c r="Y47" s="38" t="e">
        <f t="shared" si="15"/>
        <v>#N/A</v>
      </c>
      <c r="Z47" s="38"/>
      <c r="AA47" s="38"/>
      <c r="AB47" s="38"/>
      <c r="AC47" s="38"/>
      <c r="AD47" s="38"/>
      <c r="AE47" s="38"/>
      <c r="AF47" s="38"/>
      <c r="AG47" s="48"/>
    </row>
    <row r="48" spans="1:34">
      <c r="A48" s="47"/>
      <c r="B48" s="38">
        <v>6</v>
      </c>
      <c r="C48" s="38">
        <f t="shared" si="12"/>
        <v>0</v>
      </c>
      <c r="D48" s="38" t="str">
        <f t="shared" si="13"/>
        <v/>
      </c>
      <c r="E48" s="38" t="str">
        <f t="shared" si="13"/>
        <v/>
      </c>
      <c r="F48" s="38">
        <f t="shared" si="14"/>
        <v>0</v>
      </c>
      <c r="G48" s="38"/>
      <c r="H48" s="38">
        <f t="shared" si="18"/>
        <v>0</v>
      </c>
      <c r="I48" s="38"/>
      <c r="J48" s="38" t="s">
        <v>14</v>
      </c>
      <c r="K48" s="38"/>
      <c r="L48" s="38"/>
      <c r="M48" s="38"/>
      <c r="N48" s="38">
        <v>8</v>
      </c>
      <c r="O48" s="38">
        <v>0.443</v>
      </c>
      <c r="P48" s="38">
        <v>0.29899999999999999</v>
      </c>
      <c r="Q48" s="38">
        <v>0.67</v>
      </c>
      <c r="R48" s="38">
        <v>0.438</v>
      </c>
      <c r="S48" s="38"/>
      <c r="T48" s="38"/>
      <c r="U48" s="38" t="e">
        <f>IF(C48=1,SUM($F$43:F48)/SUM($C$43:C48),#N/A)</f>
        <v>#N/A</v>
      </c>
      <c r="V48" s="38" t="e">
        <f>IF(C48=1,STDEVA($F$43:F48),#N/A)</f>
        <v>#N/A</v>
      </c>
      <c r="W48" s="38" t="e">
        <f t="shared" si="16"/>
        <v>#N/A</v>
      </c>
      <c r="X48" s="38" t="e">
        <f t="shared" si="17"/>
        <v>#N/A</v>
      </c>
      <c r="Y48" s="38" t="e">
        <f t="shared" si="15"/>
        <v>#N/A</v>
      </c>
      <c r="Z48" s="38"/>
      <c r="AA48" s="38"/>
      <c r="AB48" s="38"/>
      <c r="AC48" s="38"/>
      <c r="AD48" s="38"/>
      <c r="AE48" s="38"/>
      <c r="AF48" s="38"/>
      <c r="AG48" s="48"/>
    </row>
    <row r="49" spans="1:34">
      <c r="A49" s="47"/>
      <c r="B49" s="38">
        <v>7</v>
      </c>
      <c r="C49" s="38">
        <f t="shared" ref="C49:C58" si="19">IF(OR(D49="",E49=""),0,1)</f>
        <v>0</v>
      </c>
      <c r="D49" s="38" t="str">
        <f t="shared" si="13"/>
        <v/>
      </c>
      <c r="E49" s="38" t="str">
        <f t="shared" si="13"/>
        <v/>
      </c>
      <c r="F49" s="38">
        <f t="shared" si="14"/>
        <v>0</v>
      </c>
      <c r="G49" s="38"/>
      <c r="H49" s="38">
        <f t="shared" si="18"/>
        <v>0</v>
      </c>
      <c r="I49" s="38"/>
      <c r="J49" s="38">
        <f>VLOOKUP($G$46,$N$43:$R$56,4,0)</f>
        <v>1.6859999999999999</v>
      </c>
      <c r="K49" s="38"/>
      <c r="L49" s="38"/>
      <c r="M49" s="38"/>
      <c r="N49" s="38">
        <v>9</v>
      </c>
      <c r="O49" s="38">
        <v>0.36099999999999999</v>
      </c>
      <c r="P49" s="38">
        <v>0.26300000000000001</v>
      </c>
      <c r="Q49" s="38">
        <v>0.62</v>
      </c>
      <c r="R49" s="38">
        <v>0.438</v>
      </c>
      <c r="S49" s="38"/>
      <c r="T49" s="38"/>
      <c r="U49" s="38" t="e">
        <f>IF(C49=1,SUM($F$43:F49)/SUM($C$43:C49),#N/A)</f>
        <v>#N/A</v>
      </c>
      <c r="V49" s="38" t="e">
        <f>IF(C49=1,STDEVA($F$43:F49),#N/A)</f>
        <v>#N/A</v>
      </c>
      <c r="W49" s="38" t="e">
        <f t="shared" si="16"/>
        <v>#N/A</v>
      </c>
      <c r="X49" s="38" t="e">
        <f t="shared" si="17"/>
        <v>#N/A</v>
      </c>
      <c r="Y49" s="38" t="e">
        <f t="shared" si="15"/>
        <v>#N/A</v>
      </c>
      <c r="Z49" s="38"/>
      <c r="AA49" s="38"/>
      <c r="AB49" s="38"/>
      <c r="AC49" s="38"/>
      <c r="AD49" s="38"/>
      <c r="AE49" s="38"/>
      <c r="AF49" s="38"/>
      <c r="AG49" s="48"/>
    </row>
    <row r="50" spans="1:34">
      <c r="A50" s="47"/>
      <c r="B50" s="38">
        <v>8</v>
      </c>
      <c r="C50" s="38">
        <f t="shared" si="19"/>
        <v>0</v>
      </c>
      <c r="D50" s="38" t="str">
        <f t="shared" si="13"/>
        <v/>
      </c>
      <c r="E50" s="38" t="str">
        <f t="shared" si="13"/>
        <v/>
      </c>
      <c r="F50" s="38">
        <f t="shared" si="14"/>
        <v>0</v>
      </c>
      <c r="G50" s="38"/>
      <c r="H50" s="38">
        <f t="shared" si="18"/>
        <v>0</v>
      </c>
      <c r="I50" s="38"/>
      <c r="J50" s="38" t="s">
        <v>15</v>
      </c>
      <c r="K50" s="38"/>
      <c r="L50" s="38"/>
      <c r="M50" s="38"/>
      <c r="N50" s="38">
        <v>10</v>
      </c>
      <c r="O50" s="38">
        <v>0.29199999999999998</v>
      </c>
      <c r="P50" s="38">
        <v>0.22600000000000001</v>
      </c>
      <c r="Q50" s="38">
        <v>0.57999999999999996</v>
      </c>
      <c r="R50" s="38">
        <v>0.438</v>
      </c>
      <c r="S50" s="38"/>
      <c r="T50" s="38"/>
      <c r="U50" s="38" t="e">
        <f>IF(C50=1,SUM($F$43:F50)/SUM($C$43:C50),#N/A)</f>
        <v>#N/A</v>
      </c>
      <c r="V50" s="38" t="e">
        <f>IF(C50=1,STDEVA($F$43:F50),#N/A)</f>
        <v>#N/A</v>
      </c>
      <c r="W50" s="38" t="e">
        <f t="shared" si="16"/>
        <v>#N/A</v>
      </c>
      <c r="X50" s="38" t="e">
        <f t="shared" si="17"/>
        <v>#N/A</v>
      </c>
      <c r="Y50" s="38" t="e">
        <f t="shared" si="15"/>
        <v>#N/A</v>
      </c>
      <c r="Z50" s="38"/>
      <c r="AA50" s="38"/>
      <c r="AB50" s="38"/>
      <c r="AC50" s="38"/>
      <c r="AD50" s="38"/>
      <c r="AE50" s="38"/>
      <c r="AF50" s="38"/>
      <c r="AG50" s="48"/>
    </row>
    <row r="51" spans="1:34">
      <c r="A51" s="47"/>
      <c r="B51" s="38">
        <v>9</v>
      </c>
      <c r="C51" s="38">
        <f t="shared" si="19"/>
        <v>0</v>
      </c>
      <c r="D51" s="38" t="str">
        <f t="shared" si="13"/>
        <v/>
      </c>
      <c r="E51" s="38" t="str">
        <f t="shared" si="13"/>
        <v/>
      </c>
      <c r="F51" s="38">
        <f t="shared" si="14"/>
        <v>0</v>
      </c>
      <c r="G51" s="38"/>
      <c r="H51" s="38">
        <f t="shared" si="18"/>
        <v>0</v>
      </c>
      <c r="I51" s="38"/>
      <c r="J51" s="38">
        <f>VLOOKUP($G$46,$N$43:$R$56,5,0)</f>
        <v>0.438</v>
      </c>
      <c r="K51" s="38"/>
      <c r="L51" s="38"/>
      <c r="M51" s="38"/>
      <c r="N51" s="38">
        <v>11</v>
      </c>
      <c r="O51" s="38">
        <v>0.23200000000000001</v>
      </c>
      <c r="P51" s="38">
        <v>0.19</v>
      </c>
      <c r="Q51" s="38">
        <v>0.54600000000000004</v>
      </c>
      <c r="R51" s="38">
        <v>0.438</v>
      </c>
      <c r="S51" s="38"/>
      <c r="T51" s="38"/>
      <c r="U51" s="38" t="e">
        <f>IF(C51=1,SUM($F$43:F51)/SUM($C$43:C51),#N/A)</f>
        <v>#N/A</v>
      </c>
      <c r="V51" s="38" t="e">
        <f>IF(C51=1,STDEVA($F$43:F51),#N/A)</f>
        <v>#N/A</v>
      </c>
      <c r="W51" s="38" t="e">
        <f t="shared" si="16"/>
        <v>#N/A</v>
      </c>
      <c r="X51" s="38" t="e">
        <f t="shared" si="17"/>
        <v>#N/A</v>
      </c>
      <c r="Y51" s="38" t="e">
        <f t="shared" si="15"/>
        <v>#N/A</v>
      </c>
      <c r="Z51" s="38"/>
      <c r="AA51" s="38"/>
      <c r="AB51" s="38"/>
      <c r="AC51" s="38"/>
      <c r="AD51" s="38"/>
      <c r="AE51" s="38"/>
      <c r="AF51" s="38"/>
      <c r="AG51" s="48"/>
    </row>
    <row r="52" spans="1:34">
      <c r="A52" s="47"/>
      <c r="B52" s="38">
        <v>10</v>
      </c>
      <c r="C52" s="38">
        <f t="shared" si="19"/>
        <v>0</v>
      </c>
      <c r="D52" s="38" t="str">
        <f t="shared" si="13"/>
        <v/>
      </c>
      <c r="E52" s="38" t="str">
        <f t="shared" si="13"/>
        <v/>
      </c>
      <c r="F52" s="38">
        <f t="shared" si="14"/>
        <v>0</v>
      </c>
      <c r="G52" s="38"/>
      <c r="H52" s="38">
        <f t="shared" si="18"/>
        <v>0</v>
      </c>
      <c r="I52" s="38"/>
      <c r="J52" s="38"/>
      <c r="K52" s="38"/>
      <c r="L52" s="38"/>
      <c r="M52" s="38"/>
      <c r="N52" s="38">
        <v>12</v>
      </c>
      <c r="O52" s="38">
        <v>0.17799999999999999</v>
      </c>
      <c r="P52" s="38">
        <v>0.153</v>
      </c>
      <c r="Q52" s="38">
        <v>0.51800000000000002</v>
      </c>
      <c r="R52" s="38">
        <v>0.438</v>
      </c>
      <c r="S52" s="38"/>
      <c r="T52" s="38"/>
      <c r="U52" s="38" t="e">
        <f>IF(C52=1,SUM($F$43:F52)/SUM($C$43:C52),#N/A)</f>
        <v>#N/A</v>
      </c>
      <c r="V52" s="38" t="e">
        <f>IF(C52=1,STDEVA($F$43:F52),#N/A)</f>
        <v>#N/A</v>
      </c>
      <c r="W52" s="38" t="e">
        <f t="shared" si="16"/>
        <v>#N/A</v>
      </c>
      <c r="X52" s="38" t="e">
        <f t="shared" si="17"/>
        <v>#N/A</v>
      </c>
      <c r="Y52" s="38" t="e">
        <f t="shared" si="15"/>
        <v>#N/A</v>
      </c>
      <c r="Z52" s="38"/>
      <c r="AA52" s="38"/>
      <c r="AB52" s="38"/>
      <c r="AC52" s="38"/>
      <c r="AD52" s="38"/>
      <c r="AE52" s="38"/>
      <c r="AF52" s="38"/>
      <c r="AG52" s="48"/>
      <c r="AH52" s="1" t="s">
        <v>40</v>
      </c>
    </row>
    <row r="53" spans="1:34">
      <c r="A53" s="47"/>
      <c r="B53" s="38">
        <v>11</v>
      </c>
      <c r="C53" s="38">
        <f t="shared" si="19"/>
        <v>0</v>
      </c>
      <c r="D53" s="38" t="str">
        <f t="shared" si="13"/>
        <v/>
      </c>
      <c r="E53" s="38" t="str">
        <f t="shared" si="13"/>
        <v/>
      </c>
      <c r="F53" s="38">
        <f t="shared" si="14"/>
        <v>0</v>
      </c>
      <c r="G53" s="38"/>
      <c r="H53" s="38">
        <f t="shared" si="18"/>
        <v>0</v>
      </c>
      <c r="I53" s="38"/>
      <c r="J53" s="38"/>
      <c r="K53" s="38"/>
      <c r="L53" s="38"/>
      <c r="M53" s="38"/>
      <c r="N53" s="38">
        <v>13</v>
      </c>
      <c r="O53" s="38">
        <v>0.129</v>
      </c>
      <c r="P53" s="38">
        <v>0.11600000000000001</v>
      </c>
      <c r="Q53" s="38">
        <v>0.49399999999999999</v>
      </c>
      <c r="R53" s="38">
        <v>0.438</v>
      </c>
      <c r="S53" s="38"/>
      <c r="T53" s="38"/>
      <c r="U53" s="38" t="e">
        <f>IF(C53=1,SUM($F$43:F53)/SUM($C$43:C53),#N/A)</f>
        <v>#N/A</v>
      </c>
      <c r="V53" s="38" t="e">
        <f>IF(C53=1,STDEVA($F$43:F53),#N/A)</f>
        <v>#N/A</v>
      </c>
      <c r="W53" s="38" t="e">
        <f t="shared" si="16"/>
        <v>#N/A</v>
      </c>
      <c r="X53" s="38" t="e">
        <f t="shared" si="17"/>
        <v>#N/A</v>
      </c>
      <c r="Y53" s="38" t="e">
        <f t="shared" si="15"/>
        <v>#N/A</v>
      </c>
      <c r="Z53" s="38"/>
      <c r="AA53" s="38"/>
      <c r="AB53" s="38"/>
      <c r="AC53" s="38"/>
      <c r="AD53" s="38"/>
      <c r="AE53" s="38"/>
      <c r="AF53" s="38"/>
      <c r="AG53" s="48"/>
      <c r="AH53" s="1" t="s">
        <v>41</v>
      </c>
    </row>
    <row r="54" spans="1:34">
      <c r="A54" s="47"/>
      <c r="B54" s="38">
        <v>12</v>
      </c>
      <c r="C54" s="38">
        <f t="shared" si="19"/>
        <v>0</v>
      </c>
      <c r="D54" s="38" t="str">
        <f t="shared" si="13"/>
        <v/>
      </c>
      <c r="E54" s="38" t="str">
        <f t="shared" si="13"/>
        <v/>
      </c>
      <c r="F54" s="38">
        <f t="shared" si="14"/>
        <v>0</v>
      </c>
      <c r="G54" s="38"/>
      <c r="H54" s="38">
        <f t="shared" si="18"/>
        <v>0</v>
      </c>
      <c r="I54" s="38"/>
      <c r="J54" s="38"/>
      <c r="K54" s="38"/>
      <c r="L54" s="38"/>
      <c r="M54" s="38"/>
      <c r="N54" s="38">
        <v>14</v>
      </c>
      <c r="O54" s="38">
        <v>8.3000000000000004E-2</v>
      </c>
      <c r="P54" s="38">
        <v>7.8E-2</v>
      </c>
      <c r="Q54" s="38">
        <v>0.47299999999999998</v>
      </c>
      <c r="R54" s="38">
        <v>0.438</v>
      </c>
      <c r="S54" s="38"/>
      <c r="T54" s="38"/>
      <c r="U54" s="38" t="e">
        <f>IF(C54=1,SUM($F$43:F54)/SUM($C$43:C54),#N/A)</f>
        <v>#N/A</v>
      </c>
      <c r="V54" s="38" t="e">
        <f>IF(C54=1,STDEVA($F$43:F54),#N/A)</f>
        <v>#N/A</v>
      </c>
      <c r="W54" s="38" t="e">
        <f t="shared" si="16"/>
        <v>#N/A</v>
      </c>
      <c r="X54" s="38" t="e">
        <f t="shared" si="17"/>
        <v>#N/A</v>
      </c>
      <c r="Y54" s="38" t="e">
        <f t="shared" si="15"/>
        <v>#N/A</v>
      </c>
      <c r="Z54" s="38"/>
      <c r="AA54" s="38"/>
      <c r="AB54" s="38"/>
      <c r="AC54" s="38"/>
      <c r="AD54" s="38"/>
      <c r="AE54" s="38"/>
      <c r="AF54" s="38"/>
      <c r="AG54" s="48"/>
    </row>
    <row r="55" spans="1:34">
      <c r="A55" s="47"/>
      <c r="B55" s="38">
        <v>13</v>
      </c>
      <c r="C55" s="38">
        <f t="shared" si="19"/>
        <v>0</v>
      </c>
      <c r="D55" s="38" t="str">
        <f t="shared" si="13"/>
        <v/>
      </c>
      <c r="E55" s="38" t="str">
        <f t="shared" si="13"/>
        <v/>
      </c>
      <c r="F55" s="38">
        <f t="shared" si="14"/>
        <v>0</v>
      </c>
      <c r="G55" s="38"/>
      <c r="H55" s="38">
        <f t="shared" si="18"/>
        <v>0</v>
      </c>
      <c r="I55" s="38"/>
      <c r="J55" s="38"/>
      <c r="K55" s="38"/>
      <c r="L55" s="38"/>
      <c r="M55" s="38"/>
      <c r="N55" s="38">
        <v>15</v>
      </c>
      <c r="O55" s="38">
        <v>0.04</v>
      </c>
      <c r="P55" s="38">
        <v>3.7999999999999999E-2</v>
      </c>
      <c r="Q55" s="38">
        <v>0.45500000000000002</v>
      </c>
      <c r="R55" s="38">
        <v>0.438</v>
      </c>
      <c r="S55" s="38"/>
      <c r="T55" s="38"/>
      <c r="U55" s="38" t="e">
        <f>IF(C55=1,SUM($F$43:F55)/SUM($C$43:C55),#N/A)</f>
        <v>#N/A</v>
      </c>
      <c r="V55" s="38" t="e">
        <f>IF(C55=1,STDEVA($F$43:F55),#N/A)</f>
        <v>#N/A</v>
      </c>
      <c r="W55" s="38" t="e">
        <f t="shared" si="16"/>
        <v>#N/A</v>
      </c>
      <c r="X55" s="38" t="e">
        <f t="shared" si="17"/>
        <v>#N/A</v>
      </c>
      <c r="Y55" s="38" t="e">
        <f t="shared" si="15"/>
        <v>#N/A</v>
      </c>
      <c r="Z55" s="38"/>
      <c r="AA55" s="38"/>
      <c r="AB55" s="38"/>
      <c r="AC55" s="38"/>
      <c r="AD55" s="38"/>
      <c r="AE55" s="38"/>
      <c r="AF55" s="38"/>
      <c r="AG55" s="48"/>
    </row>
    <row r="56" spans="1:34">
      <c r="A56" s="47"/>
      <c r="B56" s="38">
        <v>14</v>
      </c>
      <c r="C56" s="38">
        <f t="shared" si="19"/>
        <v>0</v>
      </c>
      <c r="D56" s="38" t="str">
        <f t="shared" si="13"/>
        <v/>
      </c>
      <c r="E56" s="38" t="str">
        <f t="shared" si="13"/>
        <v/>
      </c>
      <c r="F56" s="38">
        <f t="shared" si="14"/>
        <v>0</v>
      </c>
      <c r="G56" s="38"/>
      <c r="H56" s="38">
        <f t="shared" si="18"/>
        <v>0</v>
      </c>
      <c r="I56" s="38"/>
      <c r="J56" s="38"/>
      <c r="K56" s="38"/>
      <c r="L56" s="38"/>
      <c r="M56" s="38"/>
      <c r="N56" s="38">
        <v>16</v>
      </c>
      <c r="O56" s="38">
        <v>0</v>
      </c>
      <c r="P56" s="38">
        <v>0</v>
      </c>
      <c r="Q56" s="38">
        <v>0.438</v>
      </c>
      <c r="R56" s="38">
        <v>0.438</v>
      </c>
      <c r="S56" s="38"/>
      <c r="T56" s="38"/>
      <c r="U56" s="38" t="e">
        <f>IF(C56=1,SUM($F$43:F56)/SUM($C$43:C56),#N/A)</f>
        <v>#N/A</v>
      </c>
      <c r="V56" s="38" t="e">
        <f>IF(C56=1,STDEVA($F$43:F56),#N/A)</f>
        <v>#N/A</v>
      </c>
      <c r="W56" s="38" t="e">
        <f t="shared" si="16"/>
        <v>#N/A</v>
      </c>
      <c r="X56" s="38" t="e">
        <f t="shared" si="17"/>
        <v>#N/A</v>
      </c>
      <c r="Y56" s="38" t="e">
        <f t="shared" si="15"/>
        <v>#N/A</v>
      </c>
      <c r="Z56" s="38"/>
      <c r="AA56" s="38"/>
      <c r="AB56" s="38"/>
      <c r="AC56" s="38"/>
      <c r="AD56" s="38"/>
      <c r="AE56" s="38"/>
      <c r="AF56" s="38"/>
      <c r="AG56" s="48"/>
    </row>
    <row r="57" spans="1:34">
      <c r="A57" s="47"/>
      <c r="B57" s="38">
        <v>15</v>
      </c>
      <c r="C57" s="38">
        <f t="shared" si="19"/>
        <v>0</v>
      </c>
      <c r="D57" s="38" t="str">
        <f t="shared" si="13"/>
        <v/>
      </c>
      <c r="E57" s="38" t="str">
        <f t="shared" si="13"/>
        <v/>
      </c>
      <c r="F57" s="38">
        <f t="shared" si="14"/>
        <v>0</v>
      </c>
      <c r="G57" s="38"/>
      <c r="H57" s="38">
        <f t="shared" si="18"/>
        <v>0</v>
      </c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 t="e">
        <f>IF(C57=1,SUM($F$43:F57)/SUM($C$43:C57),#N/A)</f>
        <v>#N/A</v>
      </c>
      <c r="V57" s="38" t="e">
        <f>IF(C57=1,STDEVA($F$43:F57),#N/A)</f>
        <v>#N/A</v>
      </c>
      <c r="W57" s="38" t="e">
        <f t="shared" si="16"/>
        <v>#N/A</v>
      </c>
      <c r="X57" s="38" t="e">
        <f t="shared" si="17"/>
        <v>#N/A</v>
      </c>
      <c r="Y57" s="38" t="e">
        <f t="shared" si="15"/>
        <v>#N/A</v>
      </c>
      <c r="Z57" s="38"/>
      <c r="AA57" s="38"/>
      <c r="AB57" s="38"/>
      <c r="AC57" s="38"/>
      <c r="AD57" s="38"/>
      <c r="AE57" s="38"/>
      <c r="AF57" s="38"/>
      <c r="AG57" s="48"/>
    </row>
    <row r="58" spans="1:34" ht="14.5" thickBot="1">
      <c r="A58" s="49"/>
      <c r="B58" s="50">
        <v>16</v>
      </c>
      <c r="C58" s="50">
        <f t="shared" si="19"/>
        <v>0</v>
      </c>
      <c r="D58" s="50" t="str">
        <f t="shared" si="13"/>
        <v/>
      </c>
      <c r="E58" s="50" t="str">
        <f t="shared" si="13"/>
        <v/>
      </c>
      <c r="F58" s="50">
        <f t="shared" si="14"/>
        <v>0</v>
      </c>
      <c r="G58" s="50"/>
      <c r="H58" s="50">
        <f t="shared" si="18"/>
        <v>0</v>
      </c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 t="e">
        <f>IF(C58=1,SUM($F$43:F58)/SUM($C$43:C58),#N/A)</f>
        <v>#N/A</v>
      </c>
      <c r="V58" s="50" t="e">
        <f>IF(C58=1,STDEVA($F$43:F58),#N/A)</f>
        <v>#N/A</v>
      </c>
      <c r="W58" s="50" t="e">
        <f t="shared" si="16"/>
        <v>#N/A</v>
      </c>
      <c r="X58" s="50" t="e">
        <f t="shared" si="17"/>
        <v>#N/A</v>
      </c>
      <c r="Y58" s="50" t="e">
        <f t="shared" si="15"/>
        <v>#N/A</v>
      </c>
      <c r="Z58" s="50"/>
      <c r="AA58" s="50"/>
      <c r="AB58" s="50"/>
      <c r="AC58" s="50"/>
      <c r="AD58" s="50"/>
      <c r="AE58" s="50"/>
      <c r="AF58" s="50"/>
      <c r="AG58" s="52"/>
    </row>
    <row r="59" spans="1:34" ht="38.25" customHeight="1" thickBot="1"/>
    <row r="60" spans="1:34">
      <c r="A60" s="44" t="s">
        <v>32</v>
      </c>
      <c r="B60" s="45"/>
      <c r="C60" s="45"/>
      <c r="D60" s="45" t="s">
        <v>16</v>
      </c>
      <c r="E60" s="45" t="s">
        <v>17</v>
      </c>
      <c r="F60" s="45" t="s">
        <v>21</v>
      </c>
      <c r="G60" s="45"/>
      <c r="H60" s="45" t="s">
        <v>22</v>
      </c>
      <c r="I60" s="45" t="s">
        <v>28</v>
      </c>
      <c r="J60" s="45" t="s">
        <v>27</v>
      </c>
      <c r="K60" s="45" t="s">
        <v>9</v>
      </c>
      <c r="L60" s="45" t="s">
        <v>10</v>
      </c>
      <c r="M60" s="45" t="s">
        <v>11</v>
      </c>
      <c r="N60" s="45"/>
      <c r="O60" s="45" t="s">
        <v>19</v>
      </c>
      <c r="P60" s="45" t="s">
        <v>20</v>
      </c>
      <c r="Q60" s="46"/>
    </row>
    <row r="61" spans="1:34">
      <c r="A61" s="47"/>
      <c r="B61" s="38">
        <v>1</v>
      </c>
      <c r="C61" s="38">
        <f t="shared" ref="C61:C80" si="20">IF(OR(D61="",E61=""),0,1)</f>
        <v>1</v>
      </c>
      <c r="D61" s="38">
        <f>IF(D4="","",D4)</f>
        <v>85</v>
      </c>
      <c r="E61" s="38">
        <f>IF(E4="","",E4)</f>
        <v>84</v>
      </c>
      <c r="F61" s="38">
        <f>IF(C61=1,E61-D61,"")</f>
        <v>-1</v>
      </c>
      <c r="G61" s="38"/>
      <c r="H61" s="38">
        <f>IF(C61=1,IF(F61&gt;$J$61,1,0),"")</f>
        <v>0</v>
      </c>
      <c r="I61" s="38">
        <f>SUM(H61:H70)</f>
        <v>0</v>
      </c>
      <c r="J61" s="39">
        <v>5</v>
      </c>
      <c r="K61" s="38">
        <f>VLOOKUP($G$28,$N$61:$P$68,2)</f>
        <v>0</v>
      </c>
      <c r="L61" s="38">
        <f>VLOOKUP($G$28,$N$61:$P$68,3)</f>
        <v>3</v>
      </c>
      <c r="M61" s="38"/>
      <c r="N61" s="38">
        <v>3</v>
      </c>
      <c r="O61" s="38">
        <v>0</v>
      </c>
      <c r="P61" s="38">
        <v>3</v>
      </c>
      <c r="Q61" s="62" t="s">
        <v>24</v>
      </c>
    </row>
    <row r="62" spans="1:34">
      <c r="A62" s="47"/>
      <c r="B62" s="38">
        <v>2</v>
      </c>
      <c r="C62" s="38">
        <f t="shared" si="20"/>
        <v>1</v>
      </c>
      <c r="D62" s="38">
        <f t="shared" ref="D62:E76" si="21">IF(D5="","",D5)</f>
        <v>85</v>
      </c>
      <c r="E62" s="38">
        <f t="shared" si="21"/>
        <v>85</v>
      </c>
      <c r="F62" s="38">
        <f t="shared" ref="F62:F80" si="22">IF(C62=1,E62-D62,"")</f>
        <v>0</v>
      </c>
      <c r="G62" s="38"/>
      <c r="H62" s="38">
        <f t="shared" ref="H62:H80" si="23">IF(C62=1,IF(F62&gt;$J$61,1,0),"")</f>
        <v>0</v>
      </c>
      <c r="I62" s="38"/>
      <c r="J62" s="38"/>
      <c r="K62" s="40" t="str">
        <f>IF((SUM(H61:H70))&lt;=$K$61,"PASS","")</f>
        <v>PASS</v>
      </c>
      <c r="L62" s="41" t="str">
        <f>IF((SUM(H61:H70))&gt;=$L$61,"FAIL","")</f>
        <v/>
      </c>
      <c r="M62" s="42" t="str">
        <f>IF(AND((SUM(H61:H70))&lt;$L$61,SUM(H61:H70)&gt;$K$61),"ONE MORE VEHICLE","")</f>
        <v/>
      </c>
      <c r="N62" s="38">
        <v>4</v>
      </c>
      <c r="O62" s="38">
        <v>1</v>
      </c>
      <c r="P62" s="38">
        <v>3</v>
      </c>
      <c r="Q62" s="62"/>
    </row>
    <row r="63" spans="1:34">
      <c r="A63" s="47"/>
      <c r="B63" s="38">
        <v>3</v>
      </c>
      <c r="C63" s="38">
        <f t="shared" si="20"/>
        <v>1</v>
      </c>
      <c r="D63" s="38">
        <f t="shared" si="21"/>
        <v>85</v>
      </c>
      <c r="E63" s="38">
        <f t="shared" si="21"/>
        <v>86</v>
      </c>
      <c r="F63" s="38">
        <f t="shared" si="22"/>
        <v>1</v>
      </c>
      <c r="G63" s="38"/>
      <c r="H63" s="38">
        <f t="shared" si="23"/>
        <v>0</v>
      </c>
      <c r="I63" s="38"/>
      <c r="J63" s="38"/>
      <c r="K63" s="38"/>
      <c r="L63" s="38"/>
      <c r="M63" s="38"/>
      <c r="N63" s="38">
        <v>5</v>
      </c>
      <c r="O63" s="38">
        <v>1</v>
      </c>
      <c r="P63" s="38">
        <v>4</v>
      </c>
      <c r="Q63" s="62"/>
    </row>
    <row r="64" spans="1:34">
      <c r="A64" s="47"/>
      <c r="B64" s="38">
        <v>4</v>
      </c>
      <c r="C64" s="38">
        <f t="shared" si="20"/>
        <v>0</v>
      </c>
      <c r="D64" s="38" t="str">
        <f t="shared" si="21"/>
        <v/>
      </c>
      <c r="E64" s="38" t="str">
        <f t="shared" si="21"/>
        <v/>
      </c>
      <c r="F64" s="38" t="str">
        <f t="shared" si="22"/>
        <v/>
      </c>
      <c r="G64" s="43">
        <f>SUM(C61:C76)</f>
        <v>3</v>
      </c>
      <c r="H64" s="38" t="str">
        <f t="shared" si="23"/>
        <v/>
      </c>
      <c r="I64" s="38"/>
      <c r="J64" s="38"/>
      <c r="K64" s="38"/>
      <c r="L64" s="38"/>
      <c r="M64" s="38"/>
      <c r="N64" s="38">
        <v>6</v>
      </c>
      <c r="O64" s="38">
        <v>1</v>
      </c>
      <c r="P64" s="38">
        <v>5</v>
      </c>
      <c r="Q64" s="62"/>
    </row>
    <row r="65" spans="1:17">
      <c r="A65" s="47"/>
      <c r="B65" s="38">
        <v>5</v>
      </c>
      <c r="C65" s="38">
        <f t="shared" si="20"/>
        <v>0</v>
      </c>
      <c r="D65" s="38" t="str">
        <f t="shared" si="21"/>
        <v/>
      </c>
      <c r="E65" s="38" t="str">
        <f t="shared" si="21"/>
        <v/>
      </c>
      <c r="F65" s="38" t="str">
        <f t="shared" si="22"/>
        <v/>
      </c>
      <c r="G65" s="38"/>
      <c r="H65" s="38" t="str">
        <f t="shared" si="23"/>
        <v/>
      </c>
      <c r="I65" s="38"/>
      <c r="J65" s="38"/>
      <c r="K65" s="38"/>
      <c r="L65" s="38"/>
      <c r="M65" s="38"/>
      <c r="N65" s="38">
        <v>7</v>
      </c>
      <c r="O65" s="38">
        <v>2</v>
      </c>
      <c r="P65" s="38">
        <v>5</v>
      </c>
      <c r="Q65" s="62"/>
    </row>
    <row r="66" spans="1:17">
      <c r="A66" s="47"/>
      <c r="B66" s="38">
        <v>6</v>
      </c>
      <c r="C66" s="38">
        <f t="shared" si="20"/>
        <v>0</v>
      </c>
      <c r="D66" s="38" t="str">
        <f t="shared" si="21"/>
        <v/>
      </c>
      <c r="E66" s="38" t="str">
        <f t="shared" si="21"/>
        <v/>
      </c>
      <c r="F66" s="38" t="str">
        <f t="shared" si="22"/>
        <v/>
      </c>
      <c r="G66" s="38"/>
      <c r="H66" s="38" t="str">
        <f t="shared" si="23"/>
        <v/>
      </c>
      <c r="I66" s="38"/>
      <c r="J66" s="38"/>
      <c r="K66" s="38"/>
      <c r="L66" s="38"/>
      <c r="M66" s="38"/>
      <c r="N66" s="38">
        <v>8</v>
      </c>
      <c r="O66" s="38">
        <v>2</v>
      </c>
      <c r="P66" s="38">
        <v>6</v>
      </c>
      <c r="Q66" s="62"/>
    </row>
    <row r="67" spans="1:17">
      <c r="A67" s="47"/>
      <c r="B67" s="38">
        <v>7</v>
      </c>
      <c r="C67" s="38">
        <f t="shared" si="20"/>
        <v>0</v>
      </c>
      <c r="D67" s="38" t="str">
        <f t="shared" si="21"/>
        <v/>
      </c>
      <c r="E67" s="38" t="str">
        <f t="shared" si="21"/>
        <v/>
      </c>
      <c r="F67" s="38" t="str">
        <f t="shared" si="22"/>
        <v/>
      </c>
      <c r="G67" s="38"/>
      <c r="H67" s="38" t="str">
        <f t="shared" si="23"/>
        <v/>
      </c>
      <c r="I67" s="38"/>
      <c r="J67" s="38"/>
      <c r="K67" s="38"/>
      <c r="L67" s="38"/>
      <c r="M67" s="38"/>
      <c r="N67" s="38">
        <v>9</v>
      </c>
      <c r="O67" s="38">
        <v>3</v>
      </c>
      <c r="P67" s="38">
        <v>6</v>
      </c>
      <c r="Q67" s="62"/>
    </row>
    <row r="68" spans="1:17">
      <c r="A68" s="47"/>
      <c r="B68" s="38">
        <v>8</v>
      </c>
      <c r="C68" s="38">
        <f t="shared" si="20"/>
        <v>0</v>
      </c>
      <c r="D68" s="38" t="str">
        <f t="shared" si="21"/>
        <v/>
      </c>
      <c r="E68" s="38" t="str">
        <f t="shared" si="21"/>
        <v/>
      </c>
      <c r="F68" s="38" t="str">
        <f t="shared" si="22"/>
        <v/>
      </c>
      <c r="G68" s="38"/>
      <c r="H68" s="38" t="str">
        <f t="shared" si="23"/>
        <v/>
      </c>
      <c r="I68" s="38"/>
      <c r="J68" s="38"/>
      <c r="K68" s="38"/>
      <c r="L68" s="38"/>
      <c r="M68" s="38"/>
      <c r="N68" s="38">
        <v>10</v>
      </c>
      <c r="O68" s="38">
        <v>5</v>
      </c>
      <c r="P68" s="38">
        <v>6</v>
      </c>
      <c r="Q68" s="62"/>
    </row>
    <row r="69" spans="1:17">
      <c r="A69" s="47"/>
      <c r="B69" s="38">
        <v>9</v>
      </c>
      <c r="C69" s="38">
        <f t="shared" si="20"/>
        <v>0</v>
      </c>
      <c r="D69" s="38" t="str">
        <f t="shared" si="21"/>
        <v/>
      </c>
      <c r="E69" s="38" t="str">
        <f t="shared" si="21"/>
        <v/>
      </c>
      <c r="F69" s="38" t="str">
        <f t="shared" si="22"/>
        <v/>
      </c>
      <c r="G69" s="38"/>
      <c r="H69" s="38" t="str">
        <f t="shared" si="23"/>
        <v/>
      </c>
      <c r="I69" s="38"/>
      <c r="J69" s="38"/>
      <c r="K69" s="38"/>
      <c r="L69" s="38"/>
      <c r="M69" s="38"/>
      <c r="N69" s="38"/>
      <c r="O69" s="38" t="s">
        <v>19</v>
      </c>
      <c r="P69" s="38" t="s">
        <v>20</v>
      </c>
      <c r="Q69" s="48"/>
    </row>
    <row r="70" spans="1:17">
      <c r="A70" s="47"/>
      <c r="B70" s="38">
        <v>10</v>
      </c>
      <c r="C70" s="38">
        <f t="shared" si="20"/>
        <v>0</v>
      </c>
      <c r="D70" s="38" t="str">
        <f t="shared" si="21"/>
        <v/>
      </c>
      <c r="E70" s="38" t="str">
        <f t="shared" si="21"/>
        <v/>
      </c>
      <c r="F70" s="38" t="str">
        <f t="shared" si="22"/>
        <v/>
      </c>
      <c r="G70" s="38"/>
      <c r="H70" s="38" t="str">
        <f t="shared" si="23"/>
        <v/>
      </c>
      <c r="I70" s="38"/>
      <c r="J70" s="38"/>
      <c r="K70" s="38" t="s">
        <v>9</v>
      </c>
      <c r="L70" s="38" t="s">
        <v>10</v>
      </c>
      <c r="M70" s="38" t="s">
        <v>23</v>
      </c>
      <c r="N70" s="38">
        <v>3</v>
      </c>
      <c r="O70" s="38">
        <v>0</v>
      </c>
      <c r="P70" s="38">
        <v>5</v>
      </c>
      <c r="Q70" s="62" t="s">
        <v>25</v>
      </c>
    </row>
    <row r="71" spans="1:17">
      <c r="A71" s="64" t="s">
        <v>42</v>
      </c>
      <c r="B71" s="38">
        <v>11</v>
      </c>
      <c r="C71" s="38">
        <f t="shared" si="20"/>
        <v>0</v>
      </c>
      <c r="D71" s="38" t="str">
        <f t="shared" si="21"/>
        <v/>
      </c>
      <c r="E71" s="38" t="str">
        <f t="shared" si="21"/>
        <v/>
      </c>
      <c r="F71" s="38" t="str">
        <f t="shared" si="22"/>
        <v/>
      </c>
      <c r="G71" s="38"/>
      <c r="H71" s="38" t="str">
        <f t="shared" si="23"/>
        <v/>
      </c>
      <c r="I71" s="38"/>
      <c r="J71" s="38"/>
      <c r="K71" s="38">
        <f>VLOOKUP($G$28,$N$70:$P$87,2)</f>
        <v>0</v>
      </c>
      <c r="L71" s="38">
        <f>VLOOKUP($G$28,$N$70:$P$87,3)</f>
        <v>5</v>
      </c>
      <c r="M71" s="38"/>
      <c r="N71" s="38">
        <v>4</v>
      </c>
      <c r="O71" s="38">
        <v>1</v>
      </c>
      <c r="P71" s="38">
        <v>5</v>
      </c>
      <c r="Q71" s="62"/>
    </row>
    <row r="72" spans="1:17">
      <c r="A72" s="64"/>
      <c r="B72" s="38">
        <v>12</v>
      </c>
      <c r="C72" s="38">
        <f t="shared" si="20"/>
        <v>0</v>
      </c>
      <c r="D72" s="38" t="str">
        <f t="shared" si="21"/>
        <v/>
      </c>
      <c r="E72" s="38" t="str">
        <f t="shared" si="21"/>
        <v/>
      </c>
      <c r="F72" s="38" t="str">
        <f t="shared" si="22"/>
        <v/>
      </c>
      <c r="G72" s="38"/>
      <c r="H72" s="38" t="str">
        <f t="shared" si="23"/>
        <v/>
      </c>
      <c r="I72" s="38"/>
      <c r="J72" s="38"/>
      <c r="K72" s="40" t="str">
        <f>IF((SUM(H61:H76))&lt;=$K$71,"PASS","")</f>
        <v>PASS</v>
      </c>
      <c r="L72" s="41" t="str">
        <f>IF((SUM(H61:H76))&gt;=$L$71,"FAIL","")</f>
        <v/>
      </c>
      <c r="M72" s="42" t="str">
        <f>IF(AND((SUM(H61:H76))&lt;$L$71,SUM(H61:H76)&gt;$K$71),"ONE MORE VEHICLE","")</f>
        <v/>
      </c>
      <c r="N72" s="38">
        <v>5</v>
      </c>
      <c r="O72" s="38">
        <v>1</v>
      </c>
      <c r="P72" s="38">
        <v>5</v>
      </c>
      <c r="Q72" s="62"/>
    </row>
    <row r="73" spans="1:17">
      <c r="A73" s="64"/>
      <c r="B73" s="38">
        <v>13</v>
      </c>
      <c r="C73" s="38">
        <f t="shared" si="20"/>
        <v>0</v>
      </c>
      <c r="D73" s="38" t="str">
        <f t="shared" si="21"/>
        <v/>
      </c>
      <c r="E73" s="38" t="str">
        <f t="shared" si="21"/>
        <v/>
      </c>
      <c r="F73" s="38" t="str">
        <f t="shared" si="22"/>
        <v/>
      </c>
      <c r="G73" s="38"/>
      <c r="H73" s="38" t="str">
        <f t="shared" si="23"/>
        <v/>
      </c>
      <c r="I73" s="38"/>
      <c r="J73" s="38"/>
      <c r="K73" s="38"/>
      <c r="L73" s="38"/>
      <c r="M73" s="38"/>
      <c r="N73" s="38">
        <v>6</v>
      </c>
      <c r="O73" s="38">
        <v>2</v>
      </c>
      <c r="P73" s="38">
        <v>6</v>
      </c>
      <c r="Q73" s="62"/>
    </row>
    <row r="74" spans="1:17">
      <c r="A74" s="64"/>
      <c r="B74" s="38">
        <v>14</v>
      </c>
      <c r="C74" s="38">
        <f t="shared" si="20"/>
        <v>0</v>
      </c>
      <c r="D74" s="38" t="str">
        <f t="shared" si="21"/>
        <v/>
      </c>
      <c r="E74" s="38" t="str">
        <f t="shared" si="21"/>
        <v/>
      </c>
      <c r="F74" s="38" t="str">
        <f t="shared" si="22"/>
        <v/>
      </c>
      <c r="G74" s="38"/>
      <c r="H74" s="38" t="str">
        <f t="shared" si="23"/>
        <v/>
      </c>
      <c r="I74" s="38"/>
      <c r="J74" s="38"/>
      <c r="K74" s="38"/>
      <c r="L74" s="38"/>
      <c r="M74" s="38"/>
      <c r="N74" s="38">
        <v>7</v>
      </c>
      <c r="O74" s="38">
        <v>2</v>
      </c>
      <c r="P74" s="38">
        <v>6</v>
      </c>
      <c r="Q74" s="62"/>
    </row>
    <row r="75" spans="1:17">
      <c r="A75" s="64"/>
      <c r="B75" s="38">
        <v>15</v>
      </c>
      <c r="C75" s="38">
        <f t="shared" si="20"/>
        <v>0</v>
      </c>
      <c r="D75" s="38" t="str">
        <f t="shared" si="21"/>
        <v/>
      </c>
      <c r="E75" s="38" t="str">
        <f t="shared" si="21"/>
        <v/>
      </c>
      <c r="F75" s="38" t="str">
        <f t="shared" si="22"/>
        <v/>
      </c>
      <c r="G75" s="38"/>
      <c r="H75" s="38" t="str">
        <f t="shared" si="23"/>
        <v/>
      </c>
      <c r="I75" s="38"/>
      <c r="J75" s="38"/>
      <c r="K75" s="38"/>
      <c r="L75" s="38"/>
      <c r="M75" s="38"/>
      <c r="N75" s="38">
        <v>8</v>
      </c>
      <c r="O75" s="38">
        <v>3</v>
      </c>
      <c r="P75" s="38">
        <v>7</v>
      </c>
      <c r="Q75" s="62"/>
    </row>
    <row r="76" spans="1:17">
      <c r="A76" s="64"/>
      <c r="B76" s="38">
        <v>16</v>
      </c>
      <c r="C76" s="38">
        <f t="shared" si="20"/>
        <v>0</v>
      </c>
      <c r="D76" s="38" t="str">
        <f t="shared" si="21"/>
        <v/>
      </c>
      <c r="E76" s="38" t="str">
        <f t="shared" si="21"/>
        <v/>
      </c>
      <c r="F76" s="38" t="str">
        <f t="shared" si="22"/>
        <v/>
      </c>
      <c r="G76" s="38"/>
      <c r="H76" s="38" t="str">
        <f t="shared" si="23"/>
        <v/>
      </c>
      <c r="I76" s="38"/>
      <c r="J76" s="38"/>
      <c r="K76" s="38"/>
      <c r="L76" s="38"/>
      <c r="M76" s="38"/>
      <c r="N76" s="38">
        <v>9</v>
      </c>
      <c r="O76" s="38">
        <v>4</v>
      </c>
      <c r="P76" s="38">
        <v>8</v>
      </c>
      <c r="Q76" s="62"/>
    </row>
    <row r="77" spans="1:17">
      <c r="A77" s="64"/>
      <c r="B77" s="38">
        <v>17</v>
      </c>
      <c r="C77" s="38">
        <f t="shared" si="20"/>
        <v>0</v>
      </c>
      <c r="D77" s="38" t="str">
        <f t="shared" ref="D77:E77" si="24">IF(D20="","",D20)</f>
        <v/>
      </c>
      <c r="E77" s="38" t="str">
        <f t="shared" si="24"/>
        <v/>
      </c>
      <c r="F77" s="38" t="str">
        <f t="shared" si="22"/>
        <v/>
      </c>
      <c r="G77" s="38"/>
      <c r="H77" s="38" t="str">
        <f t="shared" si="23"/>
        <v/>
      </c>
      <c r="I77" s="38"/>
      <c r="J77" s="38"/>
      <c r="K77" s="38"/>
      <c r="L77" s="38"/>
      <c r="M77" s="38"/>
      <c r="N77" s="38">
        <v>10</v>
      </c>
      <c r="O77" s="38">
        <v>4</v>
      </c>
      <c r="P77" s="38">
        <v>8</v>
      </c>
      <c r="Q77" s="62"/>
    </row>
    <row r="78" spans="1:17">
      <c r="A78" s="64"/>
      <c r="B78" s="38">
        <v>18</v>
      </c>
      <c r="C78" s="38">
        <f t="shared" si="20"/>
        <v>0</v>
      </c>
      <c r="D78" s="38" t="str">
        <f t="shared" ref="D78:E78" si="25">IF(D21="","",D21)</f>
        <v/>
      </c>
      <c r="E78" s="38" t="str">
        <f t="shared" si="25"/>
        <v/>
      </c>
      <c r="F78" s="38" t="str">
        <f t="shared" si="22"/>
        <v/>
      </c>
      <c r="G78" s="38"/>
      <c r="H78" s="38" t="str">
        <f t="shared" si="23"/>
        <v/>
      </c>
      <c r="I78" s="38"/>
      <c r="J78" s="38"/>
      <c r="K78" s="38"/>
      <c r="L78" s="38"/>
      <c r="M78" s="38"/>
      <c r="N78" s="38">
        <v>11</v>
      </c>
      <c r="O78" s="38">
        <v>5</v>
      </c>
      <c r="P78" s="38">
        <v>9</v>
      </c>
      <c r="Q78" s="62"/>
    </row>
    <row r="79" spans="1:17">
      <c r="A79" s="64"/>
      <c r="B79" s="38">
        <v>19</v>
      </c>
      <c r="C79" s="38">
        <f t="shared" si="20"/>
        <v>0</v>
      </c>
      <c r="D79" s="38" t="str">
        <f t="shared" ref="D79:E79" si="26">IF(D22="","",D22)</f>
        <v/>
      </c>
      <c r="E79" s="38" t="str">
        <f t="shared" si="26"/>
        <v/>
      </c>
      <c r="F79" s="38" t="str">
        <f t="shared" si="22"/>
        <v/>
      </c>
      <c r="G79" s="38"/>
      <c r="H79" s="38" t="str">
        <f t="shared" si="23"/>
        <v/>
      </c>
      <c r="I79" s="38"/>
      <c r="J79" s="38"/>
      <c r="K79" s="38"/>
      <c r="L79" s="38"/>
      <c r="M79" s="38"/>
      <c r="N79" s="38">
        <v>12</v>
      </c>
      <c r="O79" s="38">
        <v>5</v>
      </c>
      <c r="P79" s="38">
        <v>9</v>
      </c>
      <c r="Q79" s="62"/>
    </row>
    <row r="80" spans="1:17">
      <c r="A80" s="64"/>
      <c r="B80" s="38">
        <v>20</v>
      </c>
      <c r="C80" s="38">
        <f t="shared" si="20"/>
        <v>0</v>
      </c>
      <c r="D80" s="38" t="str">
        <f t="shared" ref="D80:E80" si="27">IF(D23="","",D23)</f>
        <v/>
      </c>
      <c r="E80" s="38" t="str">
        <f t="shared" si="27"/>
        <v/>
      </c>
      <c r="F80" s="38" t="str">
        <f t="shared" si="22"/>
        <v/>
      </c>
      <c r="G80" s="38"/>
      <c r="H80" s="38" t="str">
        <f t="shared" si="23"/>
        <v/>
      </c>
      <c r="I80" s="38"/>
      <c r="J80" s="38"/>
      <c r="K80" s="38"/>
      <c r="L80" s="38"/>
      <c r="M80" s="38"/>
      <c r="N80" s="38">
        <v>13</v>
      </c>
      <c r="O80" s="38">
        <v>6</v>
      </c>
      <c r="P80" s="38">
        <v>10</v>
      </c>
      <c r="Q80" s="62"/>
    </row>
    <row r="81" spans="1:17">
      <c r="A81" s="35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8">
        <v>14</v>
      </c>
      <c r="O81" s="38">
        <v>6</v>
      </c>
      <c r="P81" s="38">
        <v>11</v>
      </c>
      <c r="Q81" s="62"/>
    </row>
    <row r="82" spans="1:17">
      <c r="A82" s="35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8">
        <v>15</v>
      </c>
      <c r="O82" s="38">
        <v>7</v>
      </c>
      <c r="P82" s="38">
        <v>11</v>
      </c>
      <c r="Q82" s="62"/>
    </row>
    <row r="83" spans="1:17">
      <c r="A83" s="35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8">
        <v>16</v>
      </c>
      <c r="O83" s="38">
        <v>8</v>
      </c>
      <c r="P83" s="38">
        <v>12</v>
      </c>
      <c r="Q83" s="62"/>
    </row>
    <row r="84" spans="1:17">
      <c r="A84" s="35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8">
        <v>17</v>
      </c>
      <c r="O84" s="38">
        <v>8</v>
      </c>
      <c r="P84" s="38">
        <v>12</v>
      </c>
      <c r="Q84" s="62"/>
    </row>
    <row r="85" spans="1:17">
      <c r="A85" s="35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8">
        <v>18</v>
      </c>
      <c r="O85" s="38">
        <v>9</v>
      </c>
      <c r="P85" s="38">
        <v>13</v>
      </c>
      <c r="Q85" s="62"/>
    </row>
    <row r="86" spans="1:17">
      <c r="A86" s="35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8">
        <v>19</v>
      </c>
      <c r="O86" s="38">
        <v>9</v>
      </c>
      <c r="P86" s="38">
        <v>13</v>
      </c>
      <c r="Q86" s="62"/>
    </row>
    <row r="87" spans="1:17" ht="14.5" thickBot="1">
      <c r="A87" s="36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50">
        <v>20</v>
      </c>
      <c r="O87" s="50">
        <v>11</v>
      </c>
      <c r="P87" s="50">
        <v>12</v>
      </c>
      <c r="Q87" s="63"/>
    </row>
  </sheetData>
  <sheetProtection selectLockedCells="1"/>
  <protectedRanges>
    <protectedRange sqref="J25 J43" name="A JPN und EU COM"/>
    <protectedRange sqref="D4:E23" name="Input of Part A results and indicators"/>
  </protectedRanges>
  <mergeCells count="4">
    <mergeCell ref="Q61:Q68"/>
    <mergeCell ref="Q70:Q87"/>
    <mergeCell ref="A71:A80"/>
    <mergeCell ref="G13:I14"/>
  </mergeCells>
  <pageMargins left="0.7" right="0.7" top="0.78740157499999996" bottom="0.78740157499999996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7448DD22C11B4CAB5ED2E53937552A" ma:contentTypeVersion="0" ma:contentTypeDescription="Create a new document." ma:contentTypeScope="" ma:versionID="f50531ffc087f385a08f84debb882eb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8DA235-E437-46CA-B500-06EF171B153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3948C92-952D-4AE5-91CF-67BBF286CEB1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6B7705B-7E80-4053-AABA-BCDE1275D0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Modified Option B parameters</vt:lpstr>
      <vt:lpstr>current Option B parameters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ACEA TF EV</dc:creator>
  <cp:lastModifiedBy>MaN_1105</cp:lastModifiedBy>
  <dcterms:created xsi:type="dcterms:W3CDTF">2017-04-11T13:31:28Z</dcterms:created>
  <dcterms:modified xsi:type="dcterms:W3CDTF">2021-05-17T16:34:43Z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0x010100BB7448DD22C11B4CAB5ED2E53937552A</vt:lpwstr>
  </property>
  <property fmtid="{D5CDD505-2E9C-101B-9397-08002B2CF9AE}" pid="3" name="IsMyDocuments">
    <vt:bool>true</vt:bool>
  </property>
</Properties>
</file>